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EB446665-F1EC-48A7-AB4F-2608ABABEFC8}" xr6:coauthVersionLast="47" xr6:coauthVersionMax="47" xr10:uidLastSave="{00000000-0000-0000-0000-000000000000}"/>
  <bookViews>
    <workbookView xWindow="-108" yWindow="-108" windowWidth="23256" windowHeight="12576" firstSheet="1" activeTab="2" xr2:uid="{D4CFBF63-99B4-4930-BE63-96E9CCDA73F6}"/>
  </bookViews>
  <sheets>
    <sheet name="Par où commencer " sheetId="4" r:id="rId1"/>
    <sheet name="Compte exploitation" sheetId="1" r:id="rId2"/>
    <sheet name="Plan de trésorerie" sheetId="5" r:id="rId3"/>
    <sheet name="Calcul du CA prévisionnel" sheetId="6" r:id="rId4"/>
    <sheet name="Plan de financement " sheetId="2" r:id="rId5"/>
  </sheets>
  <definedNames>
    <definedName name="_ftn1" localSheetId="0">'Par où commencer '!#REF!</definedName>
    <definedName name="_ftnref1" localSheetId="0">'Par où commencer '!#REF!</definedName>
    <definedName name="_xlnm.Print_Area" localSheetId="1">'Compte exploitation'!$A$1:$D$44</definedName>
    <definedName name="_xlnm.Print_Area" localSheetId="4">'Plan de financement '!$A$1:$D$30</definedName>
    <definedName name="_xlnm.Print_Area" localSheetId="2">'Plan de trésorerie'!$A$1:$O$66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5" l="1"/>
  <c r="F63" i="5"/>
  <c r="F64" i="5" s="1"/>
  <c r="G63" i="5"/>
  <c r="H63" i="5"/>
  <c r="H64" i="5" s="1"/>
  <c r="I63" i="5"/>
  <c r="I64" i="5" s="1"/>
  <c r="J63" i="5"/>
  <c r="J64" i="5" s="1"/>
  <c r="K63" i="5"/>
  <c r="K64" i="5" s="1"/>
  <c r="L63" i="5"/>
  <c r="L64" i="5" s="1"/>
  <c r="M63" i="5"/>
  <c r="M64" i="5" s="1"/>
  <c r="G64" i="5"/>
  <c r="C63" i="5"/>
  <c r="C64" i="5" s="1"/>
  <c r="D63" i="5"/>
  <c r="D64" i="5" s="1"/>
  <c r="B63" i="5"/>
  <c r="E64" i="5"/>
  <c r="B64" i="5"/>
  <c r="B62" i="5"/>
  <c r="O38" i="5"/>
  <c r="O39" i="5"/>
  <c r="M11" i="5" l="1"/>
  <c r="L11" i="5"/>
  <c r="K11" i="5"/>
  <c r="J11" i="5"/>
  <c r="I11" i="5"/>
  <c r="H11" i="5"/>
  <c r="G11" i="5"/>
  <c r="F11" i="5"/>
  <c r="E11" i="5"/>
  <c r="D11" i="5"/>
  <c r="M10" i="5"/>
  <c r="L10" i="5"/>
  <c r="K10" i="5"/>
  <c r="J10" i="5"/>
  <c r="I10" i="5"/>
  <c r="H10" i="5"/>
  <c r="G10" i="5"/>
  <c r="F10" i="5"/>
  <c r="E10" i="5"/>
  <c r="D10" i="5"/>
  <c r="M8" i="5"/>
  <c r="M22" i="5" s="1"/>
  <c r="L8" i="5"/>
  <c r="L22" i="5" s="1"/>
  <c r="K8" i="5"/>
  <c r="K22" i="5" s="1"/>
  <c r="J8" i="5"/>
  <c r="J22" i="5" s="1"/>
  <c r="I8" i="5"/>
  <c r="I22" i="5" s="1"/>
  <c r="H8" i="5"/>
  <c r="H22" i="5" s="1"/>
  <c r="G8" i="5"/>
  <c r="G22" i="5" s="1"/>
  <c r="F8" i="5"/>
  <c r="F22" i="5" s="1"/>
  <c r="E8" i="5"/>
  <c r="E22" i="5" s="1"/>
  <c r="D8" i="5"/>
  <c r="D22" i="5" s="1"/>
  <c r="C32" i="6"/>
  <c r="D32" i="6"/>
  <c r="C33" i="6"/>
  <c r="D33" i="6"/>
  <c r="C34" i="6"/>
  <c r="D34" i="6"/>
  <c r="C35" i="6"/>
  <c r="D35" i="6"/>
  <c r="B35" i="6"/>
  <c r="B34" i="6"/>
  <c r="B33" i="6"/>
  <c r="B32" i="6"/>
  <c r="C31" i="6"/>
  <c r="D31" i="6"/>
  <c r="B31" i="6"/>
  <c r="E25" i="6"/>
  <c r="E26" i="6"/>
  <c r="E27" i="6"/>
  <c r="E28" i="6"/>
  <c r="E29" i="6"/>
  <c r="E30" i="6"/>
  <c r="E32" i="6"/>
  <c r="E24" i="6"/>
  <c r="C30" i="6"/>
  <c r="D30" i="6"/>
  <c r="B30" i="6"/>
  <c r="C28" i="6"/>
  <c r="D28" i="6"/>
  <c r="C29" i="6"/>
  <c r="D29" i="6"/>
  <c r="B29" i="6"/>
  <c r="B28" i="6"/>
  <c r="C27" i="6"/>
  <c r="D27" i="6"/>
  <c r="B27" i="6"/>
  <c r="C26" i="6"/>
  <c r="D26" i="6"/>
  <c r="B26" i="6"/>
  <c r="E23" i="6"/>
  <c r="D23" i="6"/>
  <c r="C23" i="6"/>
  <c r="B23" i="6"/>
  <c r="E44" i="5"/>
  <c r="F44" i="5"/>
  <c r="G44" i="5"/>
  <c r="H44" i="5"/>
  <c r="I44" i="5"/>
  <c r="J44" i="5"/>
  <c r="K44" i="5"/>
  <c r="L44" i="5"/>
  <c r="M44" i="5"/>
  <c r="D43" i="5"/>
  <c r="E43" i="5"/>
  <c r="F43" i="5"/>
  <c r="G43" i="5"/>
  <c r="H43" i="5"/>
  <c r="I43" i="5"/>
  <c r="J43" i="5"/>
  <c r="K43" i="5"/>
  <c r="L43" i="5"/>
  <c r="M43" i="5"/>
  <c r="M35" i="5"/>
  <c r="J35" i="5"/>
  <c r="G35" i="5"/>
  <c r="D35" i="5"/>
  <c r="K33" i="5"/>
  <c r="H33" i="5"/>
  <c r="E33" i="5"/>
  <c r="B33" i="5"/>
  <c r="C28" i="5"/>
  <c r="D28" i="5"/>
  <c r="E28" i="5"/>
  <c r="F28" i="5"/>
  <c r="G28" i="5"/>
  <c r="H28" i="5"/>
  <c r="I28" i="5"/>
  <c r="J28" i="5"/>
  <c r="K28" i="5"/>
  <c r="L28" i="5"/>
  <c r="M28" i="5"/>
  <c r="B28" i="5"/>
  <c r="C27" i="5"/>
  <c r="D27" i="5"/>
  <c r="E27" i="5"/>
  <c r="F27" i="5"/>
  <c r="G27" i="5"/>
  <c r="H27" i="5"/>
  <c r="I27" i="5"/>
  <c r="J27" i="5"/>
  <c r="K27" i="5"/>
  <c r="L27" i="5"/>
  <c r="M27" i="5"/>
  <c r="B27" i="5"/>
  <c r="C26" i="5"/>
  <c r="C21" i="5" s="1"/>
  <c r="D26" i="5"/>
  <c r="E26" i="5"/>
  <c r="F26" i="5"/>
  <c r="G26" i="5"/>
  <c r="H26" i="5"/>
  <c r="I26" i="5"/>
  <c r="J26" i="5"/>
  <c r="K26" i="5"/>
  <c r="L26" i="5"/>
  <c r="M26" i="5"/>
  <c r="B26" i="5"/>
  <c r="B11" i="1"/>
  <c r="D14" i="2"/>
  <c r="D5" i="1"/>
  <c r="B5" i="1" s="1"/>
  <c r="D4" i="6"/>
  <c r="B32" i="1"/>
  <c r="D8" i="1"/>
  <c r="D5" i="6"/>
  <c r="D7" i="1"/>
  <c r="D6" i="6"/>
  <c r="F21" i="5" l="1"/>
  <c r="B21" i="5"/>
  <c r="I21" i="5"/>
  <c r="K21" i="5"/>
  <c r="G21" i="5"/>
  <c r="H21" i="5"/>
  <c r="J21" i="5"/>
  <c r="D21" i="5"/>
  <c r="L21" i="5"/>
  <c r="E21" i="5"/>
  <c r="M21" i="5"/>
  <c r="E34" i="6"/>
  <c r="E35" i="6"/>
  <c r="E33" i="6"/>
  <c r="E31" i="6"/>
  <c r="D7" i="6"/>
  <c r="B35" i="1"/>
  <c r="B33" i="1"/>
  <c r="B19" i="1"/>
  <c r="B18" i="1"/>
  <c r="B13" i="1"/>
  <c r="O54" i="5" l="1"/>
  <c r="O49" i="5"/>
  <c r="O48" i="5"/>
  <c r="O47" i="5"/>
  <c r="O46" i="5"/>
  <c r="O45" i="5"/>
  <c r="O44" i="5"/>
  <c r="O43" i="5"/>
  <c r="O42" i="5"/>
  <c r="O41" i="5"/>
  <c r="O40" i="5"/>
  <c r="O37" i="5"/>
  <c r="O36" i="5"/>
  <c r="O35" i="5"/>
  <c r="O34" i="5"/>
  <c r="O33" i="5"/>
  <c r="O32" i="5"/>
  <c r="O31" i="5"/>
  <c r="O30" i="5"/>
  <c r="O29" i="5"/>
  <c r="O28" i="5"/>
  <c r="O27" i="5"/>
  <c r="O26" i="5"/>
  <c r="O25" i="5"/>
  <c r="O24" i="5"/>
  <c r="O23" i="5"/>
  <c r="O22" i="5"/>
  <c r="O20" i="5"/>
  <c r="O17" i="5"/>
  <c r="O16" i="5"/>
  <c r="O15" i="5"/>
  <c r="O14" i="5"/>
  <c r="O12" i="5"/>
  <c r="O11" i="5"/>
  <c r="O10" i="5"/>
  <c r="O9" i="5"/>
  <c r="O8" i="5"/>
  <c r="C50" i="5" l="1"/>
  <c r="D50" i="5"/>
  <c r="E50" i="5"/>
  <c r="F50" i="5"/>
  <c r="G50" i="5"/>
  <c r="H50" i="5"/>
  <c r="I50" i="5"/>
  <c r="J50" i="5"/>
  <c r="K50" i="5"/>
  <c r="L50" i="5"/>
  <c r="M50" i="5"/>
  <c r="E55" i="5"/>
  <c r="M55" i="5"/>
  <c r="C13" i="5"/>
  <c r="D13" i="5"/>
  <c r="E13" i="5"/>
  <c r="F13" i="5"/>
  <c r="G13" i="5"/>
  <c r="H13" i="5"/>
  <c r="I13" i="5"/>
  <c r="J13" i="5"/>
  <c r="K13" i="5"/>
  <c r="L13" i="5"/>
  <c r="M13" i="5"/>
  <c r="B13" i="5"/>
  <c r="C7" i="5"/>
  <c r="C62" i="5" s="1"/>
  <c r="D7" i="5"/>
  <c r="D62" i="5" s="1"/>
  <c r="E7" i="5"/>
  <c r="E62" i="5" s="1"/>
  <c r="F7" i="5"/>
  <c r="F62" i="5" s="1"/>
  <c r="G7" i="5"/>
  <c r="G62" i="5" s="1"/>
  <c r="H7" i="5"/>
  <c r="H62" i="5" s="1"/>
  <c r="I7" i="5"/>
  <c r="I62" i="5" s="1"/>
  <c r="J7" i="5"/>
  <c r="J62" i="5" s="1"/>
  <c r="K7" i="5"/>
  <c r="K62" i="5" s="1"/>
  <c r="L7" i="5"/>
  <c r="L62" i="5" s="1"/>
  <c r="M7" i="5"/>
  <c r="M62" i="5" s="1"/>
  <c r="B7" i="5"/>
  <c r="B18" i="5" l="1"/>
  <c r="C55" i="5"/>
  <c r="O13" i="5"/>
  <c r="O7" i="5"/>
  <c r="O21" i="5"/>
  <c r="K55" i="5"/>
  <c r="D55" i="5"/>
  <c r="L55" i="5"/>
  <c r="F55" i="5"/>
  <c r="J55" i="5"/>
  <c r="I55" i="5"/>
  <c r="H55" i="5"/>
  <c r="G55" i="5"/>
  <c r="K18" i="5"/>
  <c r="C18" i="5"/>
  <c r="F18" i="5"/>
  <c r="M18" i="5"/>
  <c r="E18" i="5"/>
  <c r="H18" i="5"/>
  <c r="G18" i="5"/>
  <c r="D18" i="5"/>
  <c r="L18" i="5"/>
  <c r="J18" i="5"/>
  <c r="I18" i="5"/>
  <c r="B26" i="1"/>
  <c r="D9" i="2"/>
  <c r="D30" i="2" s="1"/>
  <c r="B22" i="2"/>
  <c r="B53" i="5" s="1"/>
  <c r="B15" i="2"/>
  <c r="B52" i="5" s="1"/>
  <c r="O52" i="5" s="1"/>
  <c r="B4" i="2"/>
  <c r="B51" i="5" s="1"/>
  <c r="D4" i="2"/>
  <c r="D10" i="1"/>
  <c r="D4" i="1"/>
  <c r="D41" i="1" s="1"/>
  <c r="B31" i="1"/>
  <c r="B9" i="1"/>
  <c r="B4" i="1"/>
  <c r="B50" i="5" l="1"/>
  <c r="O51" i="5"/>
  <c r="C58" i="5"/>
  <c r="K58" i="5"/>
  <c r="O62" i="5"/>
  <c r="O18" i="5"/>
  <c r="D58" i="5"/>
  <c r="M58" i="5"/>
  <c r="E58" i="5"/>
  <c r="L58" i="5"/>
  <c r="J58" i="5"/>
  <c r="I58" i="5"/>
  <c r="H58" i="5"/>
  <c r="G58" i="5"/>
  <c r="F58" i="5"/>
  <c r="B30" i="2"/>
  <c r="B41" i="1"/>
  <c r="B42" i="1" s="1"/>
  <c r="B55" i="5" l="1"/>
  <c r="O50" i="5"/>
  <c r="O63" i="5" l="1"/>
  <c r="O64" i="5"/>
  <c r="B58" i="5"/>
  <c r="B59" i="5" s="1"/>
  <c r="C4" i="5" s="1"/>
  <c r="C59" i="5" s="1"/>
  <c r="D4" i="5" s="1"/>
  <c r="D59" i="5" s="1"/>
  <c r="E4" i="5" s="1"/>
  <c r="E59" i="5" s="1"/>
  <c r="F4" i="5" s="1"/>
  <c r="F59" i="5" s="1"/>
  <c r="G4" i="5" s="1"/>
  <c r="G59" i="5" s="1"/>
  <c r="H4" i="5" s="1"/>
  <c r="H59" i="5" s="1"/>
  <c r="O55" i="5"/>
  <c r="I4" i="5" l="1"/>
  <c r="I59" i="5" s="1"/>
  <c r="J4" i="5" s="1"/>
  <c r="J59" i="5" s="1"/>
  <c r="K4" i="5" s="1"/>
  <c r="K59" i="5" l="1"/>
  <c r="L4" i="5" s="1"/>
  <c r="L59" i="5" l="1"/>
  <c r="M4" i="5" s="1"/>
  <c r="M59" i="5" l="1"/>
</calcChain>
</file>

<file path=xl/sharedStrings.xml><?xml version="1.0" encoding="utf-8"?>
<sst xmlns="http://schemas.openxmlformats.org/spreadsheetml/2006/main" count="243" uniqueCount="199">
  <si>
    <t>Charges externes</t>
  </si>
  <si>
    <t>Assurances</t>
  </si>
  <si>
    <t>Autres abonnements</t>
  </si>
  <si>
    <t>Carburant</t>
  </si>
  <si>
    <t>Frais de déplacement et hébergement</t>
  </si>
  <si>
    <t>Eau, électricité, gaz</t>
  </si>
  <si>
    <t>Loyer et charges locatives</t>
  </si>
  <si>
    <t>D'exploitation</t>
  </si>
  <si>
    <t>Hors exploitation</t>
  </si>
  <si>
    <t>Une seule fois</t>
  </si>
  <si>
    <t xml:space="preserve">Véhicule </t>
  </si>
  <si>
    <t xml:space="preserve">Travaux </t>
  </si>
  <si>
    <t>Dépôt de garantie</t>
  </si>
  <si>
    <t xml:space="preserve">Création de site internet </t>
  </si>
  <si>
    <t xml:space="preserve">Impôts et taxes </t>
  </si>
  <si>
    <t xml:space="preserve">Ressources régulières </t>
  </si>
  <si>
    <t xml:space="preserve">Prêt bancaire </t>
  </si>
  <si>
    <t xml:space="preserve">Chiffre d'affaires </t>
  </si>
  <si>
    <t>CA produit 2</t>
  </si>
  <si>
    <t xml:space="preserve">Subventions d’exploitation </t>
  </si>
  <si>
    <t xml:space="preserve">Achats de matières premières </t>
  </si>
  <si>
    <t xml:space="preserve">Achats de marchandises </t>
  </si>
  <si>
    <t xml:space="preserve">Prestations de sous-traitance </t>
  </si>
  <si>
    <t xml:space="preserve">Fournitures diverses (entretien, bureau…) </t>
  </si>
  <si>
    <t xml:space="preserve">Honoraires (comptable, avocat) </t>
  </si>
  <si>
    <t>Publicité et communication</t>
  </si>
  <si>
    <t>Téléphone, internet, frais postaux</t>
  </si>
  <si>
    <t xml:space="preserve">Autre : </t>
  </si>
  <si>
    <t xml:space="preserve">Salaires et charges sociales </t>
  </si>
  <si>
    <t>Salaires bruts des employés</t>
  </si>
  <si>
    <t xml:space="preserve">Charges sociales patronales des employés </t>
  </si>
  <si>
    <t xml:space="preserve">Charges financières </t>
  </si>
  <si>
    <t xml:space="preserve">Dotation aux amortissements </t>
  </si>
  <si>
    <t xml:space="preserve">Produits financiers </t>
  </si>
  <si>
    <t xml:space="preserve">TOTAL DES CHARGES </t>
  </si>
  <si>
    <t xml:space="preserve">TOTAL DES PRODUITS </t>
  </si>
  <si>
    <t xml:space="preserve">Bénéfice brut </t>
  </si>
  <si>
    <t xml:space="preserve">Impôt sur les bénéfices </t>
  </si>
  <si>
    <t xml:space="preserve">PRODUITS (HT) </t>
  </si>
  <si>
    <t xml:space="preserve">CHARGES (HT) </t>
  </si>
  <si>
    <t xml:space="preserve">Rémunération des dirigeants </t>
  </si>
  <si>
    <t>Charges sociales des dirigeants</t>
  </si>
  <si>
    <t xml:space="preserve">Subvention 1 : </t>
  </si>
  <si>
    <t xml:space="preserve">Subvention 2 : </t>
  </si>
  <si>
    <t xml:space="preserve">Compte d'exploitation prévisionnel (première année) </t>
  </si>
  <si>
    <t xml:space="preserve">Plan de financement au démarrage </t>
  </si>
  <si>
    <t>BESOINS</t>
  </si>
  <si>
    <t xml:space="preserve">RESSOURCES </t>
  </si>
  <si>
    <t xml:space="preserve">Investissements immatériels </t>
  </si>
  <si>
    <t xml:space="preserve">Frais d'immatriculation </t>
  </si>
  <si>
    <t xml:space="preserve">INPI (dépôt de marque) </t>
  </si>
  <si>
    <t xml:space="preserve">Publicité au démarrage </t>
  </si>
  <si>
    <t xml:space="preserve">Logiciels </t>
  </si>
  <si>
    <t xml:space="preserve">Fonds de commerce </t>
  </si>
  <si>
    <t xml:space="preserve">Brevets et licences </t>
  </si>
  <si>
    <t xml:space="preserve">Investissements matériels </t>
  </si>
  <si>
    <t xml:space="preserve">Investissements financiers </t>
  </si>
  <si>
    <t xml:space="preserve">Dépôt de garantie (loyers…) </t>
  </si>
  <si>
    <t xml:space="preserve">Besoin en fonds de roulement </t>
  </si>
  <si>
    <t>Trésorerie de départ</t>
  </si>
  <si>
    <t xml:space="preserve">Capitaux propres </t>
  </si>
  <si>
    <t xml:space="preserve">Capital social </t>
  </si>
  <si>
    <t xml:space="preserve">Comptes courants d'associés </t>
  </si>
  <si>
    <t xml:space="preserve">Primes et subventions </t>
  </si>
  <si>
    <t xml:space="preserve">Capitaux empruntés </t>
  </si>
  <si>
    <t xml:space="preserve">Prêt d'honneur </t>
  </si>
  <si>
    <t xml:space="preserve">Autres prêts </t>
  </si>
  <si>
    <t>TOTAL DES BESOINS</t>
  </si>
  <si>
    <t xml:space="preserve">TOTAL DES RESSOURCES </t>
  </si>
  <si>
    <t xml:space="preserve">Variation de stocks </t>
  </si>
  <si>
    <t xml:space="preserve">Contribution éco. territoriale (CET) </t>
  </si>
  <si>
    <t xml:space="preserve">Taxe d’apprentissage </t>
  </si>
  <si>
    <t>Autres (hors IS)</t>
  </si>
  <si>
    <t xml:space="preserve">ENCAISSEMENTS </t>
  </si>
  <si>
    <t>Solde en début de mois</t>
  </si>
  <si>
    <t>Plan de trésorerie (TTC)</t>
  </si>
  <si>
    <t>Commissions versées</t>
  </si>
  <si>
    <t xml:space="preserve">Intérêts et agios </t>
  </si>
  <si>
    <t>TOTAL DES ENCAISSEMENTS</t>
  </si>
  <si>
    <t xml:space="preserve">SOLDES </t>
  </si>
  <si>
    <t>Mobilier</t>
  </si>
  <si>
    <t>Informatique</t>
  </si>
  <si>
    <t>Remboursement de TVA</t>
  </si>
  <si>
    <t>TVA reversée</t>
  </si>
  <si>
    <t xml:space="preserve">SOLDE EN FIN DE MOIS </t>
  </si>
  <si>
    <t xml:space="preserve">Garanties professionnelles </t>
  </si>
  <si>
    <t xml:space="preserve">TVA </t>
  </si>
  <si>
    <t xml:space="preserve">TVA payée sur les dépenses </t>
  </si>
  <si>
    <t xml:space="preserve">Achats / Charges variables </t>
  </si>
  <si>
    <t xml:space="preserve">TVA collectée </t>
  </si>
  <si>
    <t>TOTAL ANNUEL</t>
  </si>
  <si>
    <t xml:space="preserve">Solde mensuel de TVA </t>
  </si>
  <si>
    <t xml:space="preserve">Remboursement de crédit (capital) </t>
  </si>
  <si>
    <t>Travaux / décoration</t>
  </si>
  <si>
    <t xml:space="preserve">Mobilier </t>
  </si>
  <si>
    <t xml:space="preserve">Machine à café + petit matériel </t>
  </si>
  <si>
    <t>2 000 €</t>
  </si>
  <si>
    <t xml:space="preserve">? </t>
  </si>
  <si>
    <t>2 500 €</t>
  </si>
  <si>
    <t>Rémunération des intervenants</t>
  </si>
  <si>
    <t xml:space="preserve">Boissons / matières premières </t>
  </si>
  <si>
    <t xml:space="preserve">EDF / eau </t>
  </si>
  <si>
    <t>30% du CA salon de thé</t>
  </si>
  <si>
    <t>Ressources de départ</t>
  </si>
  <si>
    <t xml:space="preserve">Emprunt bancaire </t>
  </si>
  <si>
    <t xml:space="preserve">CA Salon de thé </t>
  </si>
  <si>
    <t>CA Ateliers et cours</t>
  </si>
  <si>
    <t>Achats de matières premières 30% du CA</t>
  </si>
  <si>
    <t xml:space="preserve">CA produit 1 / SALON DE THE </t>
  </si>
  <si>
    <t>CA prestations de service 2 / LOCATION DE SALLE</t>
  </si>
  <si>
    <t xml:space="preserve">Loyer mensuel </t>
  </si>
  <si>
    <t>Agence immobilière</t>
  </si>
  <si>
    <t xml:space="preserve">1 512 € </t>
  </si>
  <si>
    <t>Charges locatives (15%)</t>
  </si>
  <si>
    <t>Pas-de-porte</t>
  </si>
  <si>
    <t>10 000 €</t>
  </si>
  <si>
    <t>2 520 €</t>
  </si>
  <si>
    <t xml:space="preserve">Honoraires (agence immobilière) </t>
  </si>
  <si>
    <t>Droit d'entrée franchise PAS DE PORTE</t>
  </si>
  <si>
    <t>Semaine type</t>
  </si>
  <si>
    <t xml:space="preserve">Total </t>
  </si>
  <si>
    <t xml:space="preserve">Salon de thé </t>
  </si>
  <si>
    <t xml:space="preserve">Location de la salle pour des cours </t>
  </si>
  <si>
    <t xml:space="preserve">Panier moyen 12 € HT </t>
  </si>
  <si>
    <t>Organisation d'ateliers</t>
  </si>
  <si>
    <t xml:space="preserve">3 ateliers x 8 participants </t>
  </si>
  <si>
    <t>CA 20 € HT / personne</t>
  </si>
  <si>
    <t>CA prestations de service 1 / ATELIERS</t>
  </si>
  <si>
    <t xml:space="preserve">15 heures </t>
  </si>
  <si>
    <t>Location 12 € HT / heure</t>
  </si>
  <si>
    <t>65 clients</t>
  </si>
  <si>
    <t>Autres financements</t>
  </si>
  <si>
    <t xml:space="preserve">Crowdfunding </t>
  </si>
  <si>
    <t xml:space="preserve">Outillage / Matériel </t>
  </si>
  <si>
    <t>MARS</t>
  </si>
  <si>
    <t>AVRIL</t>
  </si>
  <si>
    <t>MAI</t>
  </si>
  <si>
    <t>JUIN</t>
  </si>
  <si>
    <t>JUILLET</t>
  </si>
  <si>
    <t>AOÛT</t>
  </si>
  <si>
    <t>SEPTEMBRE</t>
  </si>
  <si>
    <t>OCTOBRE</t>
  </si>
  <si>
    <t>NOVEMBRE</t>
  </si>
  <si>
    <t>DÉCEMBRE</t>
  </si>
  <si>
    <t>JANVIER</t>
  </si>
  <si>
    <t xml:space="preserve">CA Salon de thé / petite restauration </t>
  </si>
  <si>
    <t>CA Organisation d'ateliers</t>
  </si>
  <si>
    <t>CA Location de salle pour des cours</t>
  </si>
  <si>
    <t xml:space="preserve">Hypothèses de progression du chiffre d‘affaires au cours de la première année : </t>
  </si>
  <si>
    <t xml:space="preserve">Le chiffre d’affaires au seuil de rentabilité est de 68 900 € HT / an, soit 5 750 € HT par mois.  </t>
  </si>
  <si>
    <t xml:space="preserve">55% du CA proviendra de l’activité salon de thé / petite restauration, 33% de l’organisation d’ateliers et 12% de la location d’espace pour les cours. </t>
  </si>
  <si>
    <t xml:space="preserve">Mois </t>
  </si>
  <si>
    <t xml:space="preserve">CA Salon de thé / Restauration (HT) </t>
  </si>
  <si>
    <t xml:space="preserve">Février </t>
  </si>
  <si>
    <t>Mars</t>
  </si>
  <si>
    <t>Avril</t>
  </si>
  <si>
    <t>Mai</t>
  </si>
  <si>
    <t>Juin</t>
  </si>
  <si>
    <t>Juillet</t>
  </si>
  <si>
    <t>Août</t>
  </si>
  <si>
    <t>Septembre</t>
  </si>
  <si>
    <t>Octobre</t>
  </si>
  <si>
    <t>Novembre</t>
  </si>
  <si>
    <t>Décembre</t>
  </si>
  <si>
    <t>Janvier</t>
  </si>
  <si>
    <t>CA Organisation d'ateliers (HT)</t>
  </si>
  <si>
    <t>CA Location d'espace (HT)</t>
  </si>
  <si>
    <t>Mois type au SR</t>
  </si>
  <si>
    <t>Crowdfunding</t>
  </si>
  <si>
    <t>Prêts (banque et prêt d'honneur)</t>
  </si>
  <si>
    <t>CA mensuel  total (HT)</t>
  </si>
  <si>
    <t xml:space="preserve">4000 € ? </t>
  </si>
  <si>
    <t>Apport personnel</t>
  </si>
  <si>
    <t xml:space="preserve">Par où commencer ? </t>
  </si>
  <si>
    <t xml:space="preserve">LES BESOINS - Vous listez dans la colonne de gauche les postes de dépenses que vous n’aurez à faire qu’une seule fois et qui correspondent aux besoins permanents de l’entreprise. 
Vous notez dans la colonne de droite les postes de dépenses qui sont générées par l’activité et qui reviendront régulièrement. </t>
  </si>
  <si>
    <t>LES RESSOURCES - Listez ensuite sur une seconde feuille de papier les Ressources de votre entreprise en différenciant les ressources disponibles au démarrage de l’activité et les ressources régulières.</t>
  </si>
  <si>
    <t xml:space="preserve">BESOINS </t>
  </si>
  <si>
    <t>Montant</t>
  </si>
  <si>
    <t>Réguliers</t>
  </si>
  <si>
    <t xml:space="preserve">Assurance </t>
  </si>
  <si>
    <t xml:space="preserve">CA Location de salle </t>
  </si>
  <si>
    <t>Le compte d’exploitation récapitule les dépenses et les recettes de l’entreprise sur une période donnée, généralement une année ou un exercice comptable. Il est aussi parfois appelé compte de résultat. Les montants qui apparaissent dans le compte d’exploitation sont à indiquer hors taxes. Si vous décidez d’opter pour le régime fiscal de la micro-entreprise, vous devez toutefois les faire apparaître TTC.</t>
  </si>
  <si>
    <t xml:space="preserve">Le plan de trésorerie prévisionnel reprend mois par mois les dépenses et les recettes de votre entreprise, telles qu’elles auront lieu durant sa première année d’existence. Il vous permet de suivre l’équilibre financier de votre activité et de calculer le solde de trésorerie à la fin de chaque mois. Il vous aide à valider que le montant de trésorerie avec lequel votre entreprise démarre est suffisant pour faire face aux dépenses. Tous les montants sont à faire figurer TTC, quel que soit votre régime fiscal. </t>
  </si>
  <si>
    <t xml:space="preserve">FÉVRIER </t>
  </si>
  <si>
    <t xml:space="preserve">DÉCAISSEMENTS </t>
  </si>
  <si>
    <t>TOTAL DES DÉCAISSEMENTS</t>
  </si>
  <si>
    <t>SOLDE CUMULÉ</t>
  </si>
  <si>
    <t>Le plan de financement de départ recense les besoins et les ressources durables de l’entreprise. Il se présente sous la forme d’un tableau avec à gauche, les besoins, et à droite, les ressources. Les montants sont à indiquer hors taxes, sauf si votre entreprise n’est pas assujettie à la TVA (dans ce cas, vous indiquerez les montants TTC).</t>
  </si>
  <si>
    <t xml:space="preserve">Calcul du CA prévisionnel </t>
  </si>
  <si>
    <t xml:space="preserve">o   Pas de chiffre d’affaires prévu les deux premiers mois (février et mars) en raison des travaux dans le local et du temps nécessaire pour l’installation.  </t>
  </si>
  <si>
    <t xml:space="preserve">o   Avril : ouverture ; le CA est de 30% du seuil de rentabilité </t>
  </si>
  <si>
    <t xml:space="preserve">o   Mai : le CA atteint 50% du seuil de rentabilité </t>
  </si>
  <si>
    <t xml:space="preserve">o   Juin-juillet : le CA atteint 80% du seuil de rentabilité </t>
  </si>
  <si>
    <t xml:space="preserve">o   Août (période de vacances) : prévisions de CA à 60% du seuil de rentabilité </t>
  </si>
  <si>
    <t xml:space="preserve">o   Septembre : le CA atteint 85% du seuil de rentabilité </t>
  </si>
  <si>
    <t xml:space="preserve">o   Octobre et suivants : le CA atteint les objectifs du seuil de rentabilité </t>
  </si>
  <si>
    <t xml:space="preserve">Si le solde de TVA est positif : vous devrez reverser ce montant à l'État. Vous pouvez reporter le montant de TVA à décaisser chaque trimestre dans la ligne TVA reversée (c'est une charge pour l'entreprise). </t>
  </si>
  <si>
    <t>Si le solde annuel de TVA est négatif : vous pourrez demander un remboursement à l'État (c'est une ressource pour l'entreprise). Vous pouvez reporter le montant de TVA à décaisser dans la partie Encaissements.</t>
  </si>
  <si>
    <r>
      <t xml:space="preserve">Source : Anne-Sophie Poupin, </t>
    </r>
    <r>
      <rPr>
        <i/>
        <sz val="12"/>
        <color rgb="FFFF0000"/>
        <rFont val="Arial"/>
        <family val="2"/>
      </rPr>
      <t>L'Art du business plan</t>
    </r>
    <r>
      <rPr>
        <sz val="12"/>
        <color rgb="FFFF0000"/>
        <rFont val="Arial"/>
        <family val="2"/>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</si>
</sst>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 &quot;€&quot;"/>
  </numFmts>
  <fonts count="23" x14ac:knownFonts="1">
    <font>
      <sz val="11"/>
      <color theme="1"/>
      <name val="Calibri"/>
      <family val="2"/>
      <scheme val="minor"/>
    </font>
    <font>
      <sz val="11"/>
      <color theme="1"/>
      <name val="Arial"/>
      <family val="2"/>
    </font>
    <font>
      <sz val="20"/>
      <color theme="1"/>
      <name val="Arial"/>
      <family val="2"/>
    </font>
    <font>
      <sz val="10"/>
      <color theme="1"/>
      <name val="Arial"/>
      <family val="2"/>
    </font>
    <font>
      <b/>
      <sz val="10"/>
      <color theme="1"/>
      <name val="Arial"/>
      <family val="2"/>
    </font>
    <font>
      <b/>
      <sz val="12"/>
      <color theme="1"/>
      <name val="Arial"/>
      <family val="2"/>
    </font>
    <font>
      <sz val="8"/>
      <name val="Calibri"/>
      <family val="2"/>
      <scheme val="minor"/>
    </font>
    <font>
      <b/>
      <sz val="10"/>
      <name val="Arial"/>
      <family val="2"/>
    </font>
    <font>
      <b/>
      <i/>
      <sz val="10"/>
      <name val="Arial"/>
      <family val="2"/>
    </font>
    <font>
      <sz val="20"/>
      <name val="Arial"/>
      <family val="2"/>
    </font>
    <font>
      <sz val="11"/>
      <name val="Calibri"/>
      <family val="2"/>
      <scheme val="minor"/>
    </font>
    <font>
      <sz val="10"/>
      <name val="Arial"/>
      <family val="2"/>
    </font>
    <font>
      <b/>
      <sz val="11"/>
      <color theme="1"/>
      <name val="Calibri"/>
      <family val="2"/>
      <scheme val="minor"/>
    </font>
    <font>
      <i/>
      <sz val="11"/>
      <color theme="1"/>
      <name val="Calibri"/>
      <family val="2"/>
      <scheme val="minor"/>
    </font>
    <font>
      <i/>
      <sz val="11"/>
      <color theme="1"/>
      <name val="Arial"/>
      <family val="2"/>
    </font>
    <font>
      <b/>
      <sz val="11"/>
      <color theme="1"/>
      <name val="Arial"/>
      <family val="2"/>
    </font>
    <font>
      <u/>
      <sz val="11"/>
      <color theme="10"/>
      <name val="Calibri"/>
      <family val="2"/>
      <scheme val="minor"/>
    </font>
    <font>
      <i/>
      <sz val="10"/>
      <color theme="1"/>
      <name val="Arial"/>
      <family val="2"/>
    </font>
    <font>
      <i/>
      <sz val="10"/>
      <name val="Arial"/>
      <family val="2"/>
    </font>
    <font>
      <i/>
      <sz val="10"/>
      <name val="Calibri"/>
      <family val="2"/>
      <scheme val="minor"/>
    </font>
    <font>
      <i/>
      <sz val="10"/>
      <color theme="1"/>
      <name val="Calibri"/>
      <family val="2"/>
      <scheme val="minor"/>
    </font>
    <font>
      <sz val="12"/>
      <color rgb="FFFF0000"/>
      <name val="Arial"/>
      <family val="2"/>
    </font>
    <font>
      <i/>
      <sz val="12"/>
      <color rgb="FFFF0000"/>
      <name val="Arial"/>
      <family val="2"/>
    </font>
  </fonts>
  <fills count="5">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s>
  <borders count="40">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style="thick">
        <color auto="1"/>
      </left>
      <right/>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right/>
      <top/>
      <bottom style="thick">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auto="1"/>
      </left>
      <right style="thick">
        <color auto="1"/>
      </right>
      <top style="thick">
        <color auto="1"/>
      </top>
      <bottom/>
      <diagonal/>
    </border>
    <border>
      <left style="thin">
        <color auto="1"/>
      </left>
      <right style="thick">
        <color auto="1"/>
      </right>
      <top/>
      <bottom/>
      <diagonal/>
    </border>
    <border>
      <left style="thin">
        <color auto="1"/>
      </left>
      <right/>
      <top style="thick">
        <color auto="1"/>
      </top>
      <bottom/>
      <diagonal/>
    </border>
    <border>
      <left style="thin">
        <color auto="1"/>
      </left>
      <right style="thick">
        <color auto="1"/>
      </right>
      <top style="thick">
        <color auto="1"/>
      </top>
      <bottom style="thick">
        <color auto="1"/>
      </bottom>
      <diagonal/>
    </border>
  </borders>
  <cellStyleXfs count="2">
    <xf numFmtId="0" fontId="0" fillId="0" borderId="0"/>
    <xf numFmtId="0" fontId="16" fillId="0" borderId="0" applyNumberFormat="0" applyFill="0" applyBorder="0" applyAlignment="0" applyProtection="0"/>
  </cellStyleXfs>
  <cellXfs count="146">
    <xf numFmtId="0" fontId="0" fillId="0" borderId="0" xfId="0"/>
    <xf numFmtId="0" fontId="3" fillId="0" borderId="0" xfId="0" applyFont="1"/>
    <xf numFmtId="0" fontId="3" fillId="0" borderId="0" xfId="0" applyFont="1" applyAlignment="1">
      <alignment vertical="center"/>
    </xf>
    <xf numFmtId="0" fontId="4" fillId="0" borderId="11" xfId="0" applyFont="1" applyBorder="1"/>
    <xf numFmtId="0" fontId="3" fillId="0" borderId="11" xfId="0" applyFont="1" applyBorder="1"/>
    <xf numFmtId="0" fontId="3" fillId="0" borderId="0" xfId="0" applyFont="1" applyBorder="1"/>
    <xf numFmtId="0" fontId="3" fillId="0" borderId="11" xfId="0" applyFont="1" applyBorder="1" applyAlignment="1">
      <alignment wrapText="1"/>
    </xf>
    <xf numFmtId="0" fontId="11" fillId="0" borderId="0" xfId="0" applyFont="1" applyFill="1"/>
    <xf numFmtId="0" fontId="7" fillId="0" borderId="0" xfId="0" applyFont="1" applyFill="1" applyBorder="1" applyAlignment="1">
      <alignment horizontal="center"/>
    </xf>
    <xf numFmtId="6" fontId="11" fillId="0" borderId="1" xfId="0" applyNumberFormat="1" applyFont="1" applyFill="1" applyBorder="1"/>
    <xf numFmtId="0" fontId="7" fillId="0" borderId="0" xfId="0" applyFont="1" applyFill="1" applyBorder="1" applyAlignment="1">
      <alignment horizontal="right"/>
    </xf>
    <xf numFmtId="0" fontId="3" fillId="0" borderId="19" xfId="0" applyFont="1" applyBorder="1"/>
    <xf numFmtId="6" fontId="11" fillId="0" borderId="20" xfId="0" applyNumberFormat="1" applyFont="1" applyFill="1" applyBorder="1"/>
    <xf numFmtId="0" fontId="11" fillId="0" borderId="0" xfId="0" applyFont="1" applyFill="1" applyBorder="1" applyAlignment="1">
      <alignment horizontal="right"/>
    </xf>
    <xf numFmtId="6" fontId="11" fillId="0" borderId="0" xfId="0" applyNumberFormat="1" applyFont="1" applyFill="1" applyBorder="1"/>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11" fillId="0" borderId="2" xfId="0" applyFont="1" applyFill="1" applyBorder="1" applyAlignment="1">
      <alignment horizontal="right"/>
    </xf>
    <xf numFmtId="6" fontId="7" fillId="0" borderId="0" xfId="0" applyNumberFormat="1" applyFont="1" applyFill="1" applyBorder="1"/>
    <xf numFmtId="0" fontId="11" fillId="0" borderId="0" xfId="0" applyFont="1" applyFill="1" applyBorder="1"/>
    <xf numFmtId="0" fontId="3" fillId="0" borderId="19" xfId="0" applyFont="1" applyBorder="1" applyAlignment="1">
      <alignment wrapText="1"/>
    </xf>
    <xf numFmtId="0" fontId="11" fillId="0" borderId="19" xfId="0" applyFont="1" applyFill="1" applyBorder="1"/>
    <xf numFmtId="0" fontId="8" fillId="3" borderId="19" xfId="0" applyFont="1" applyFill="1" applyBorder="1"/>
    <xf numFmtId="6" fontId="7" fillId="3" borderId="1" xfId="0" applyNumberFormat="1" applyFont="1" applyFill="1" applyBorder="1" applyAlignment="1"/>
    <xf numFmtId="0" fontId="7" fillId="3" borderId="21" xfId="0" applyFont="1" applyFill="1" applyBorder="1" applyAlignment="1">
      <alignment horizontal="right"/>
    </xf>
    <xf numFmtId="6" fontId="7" fillId="3" borderId="26" xfId="0" applyNumberFormat="1" applyFont="1" applyFill="1" applyBorder="1"/>
    <xf numFmtId="6" fontId="7" fillId="3" borderId="27" xfId="0" applyNumberFormat="1" applyFont="1" applyFill="1" applyBorder="1"/>
    <xf numFmtId="6" fontId="7" fillId="3" borderId="20" xfId="0" applyNumberFormat="1" applyFont="1" applyFill="1" applyBorder="1" applyAlignment="1"/>
    <xf numFmtId="6" fontId="7" fillId="3" borderId="1" xfId="0" applyNumberFormat="1" applyFont="1" applyFill="1" applyBorder="1"/>
    <xf numFmtId="6" fontId="7" fillId="3" borderId="20" xfId="0" applyNumberFormat="1" applyFont="1" applyFill="1" applyBorder="1"/>
    <xf numFmtId="0" fontId="7" fillId="0" borderId="0" xfId="0" applyFont="1" applyFill="1"/>
    <xf numFmtId="0" fontId="7" fillId="3" borderId="19" xfId="0" applyFont="1" applyFill="1" applyBorder="1" applyAlignment="1">
      <alignment horizontal="right"/>
    </xf>
    <xf numFmtId="6" fontId="7" fillId="3" borderId="23" xfId="0" applyNumberFormat="1" applyFont="1" applyFill="1" applyBorder="1"/>
    <xf numFmtId="6" fontId="7" fillId="3" borderId="24" xfId="0" applyNumberFormat="1" applyFont="1" applyFill="1" applyBorder="1"/>
    <xf numFmtId="6" fontId="11" fillId="3" borderId="22" xfId="0" applyNumberFormat="1" applyFont="1" applyFill="1" applyBorder="1"/>
    <xf numFmtId="0" fontId="4" fillId="3" borderId="10" xfId="0" applyFont="1" applyFill="1" applyBorder="1"/>
    <xf numFmtId="0" fontId="4" fillId="3" borderId="11" xfId="0" applyFont="1" applyFill="1" applyBorder="1"/>
    <xf numFmtId="0" fontId="4" fillId="3" borderId="0" xfId="0" applyFont="1" applyFill="1" applyBorder="1"/>
    <xf numFmtId="0" fontId="4" fillId="3" borderId="12" xfId="0" applyFont="1" applyFill="1" applyBorder="1"/>
    <xf numFmtId="0" fontId="4" fillId="3" borderId="14" xfId="0" applyFont="1" applyFill="1" applyBorder="1"/>
    <xf numFmtId="0" fontId="4" fillId="3" borderId="2" xfId="0" applyFont="1" applyFill="1" applyBorder="1"/>
    <xf numFmtId="0" fontId="11" fillId="0" borderId="19" xfId="0" applyFont="1" applyBorder="1"/>
    <xf numFmtId="6" fontId="11" fillId="0" borderId="1" xfId="0" applyNumberFormat="1" applyFont="1" applyBorder="1"/>
    <xf numFmtId="6" fontId="11" fillId="0" borderId="20" xfId="0" applyNumberFormat="1" applyFont="1" applyBorder="1"/>
    <xf numFmtId="0" fontId="11" fillId="0" borderId="21" xfId="0" applyFont="1" applyBorder="1"/>
    <xf numFmtId="6" fontId="11" fillId="0" borderId="26" xfId="0" applyNumberFormat="1" applyFont="1" applyBorder="1"/>
    <xf numFmtId="6" fontId="11" fillId="0" borderId="27" xfId="0" applyNumberFormat="1" applyFont="1" applyBorder="1"/>
    <xf numFmtId="0" fontId="11" fillId="0" borderId="0" xfId="0" applyFont="1"/>
    <xf numFmtId="6" fontId="11" fillId="0" borderId="0" xfId="0" applyNumberFormat="1" applyFont="1"/>
    <xf numFmtId="0" fontId="7" fillId="0" borderId="30" xfId="0" applyFont="1" applyBorder="1"/>
    <xf numFmtId="0" fontId="11" fillId="0" borderId="31" xfId="0" applyFont="1" applyBorder="1"/>
    <xf numFmtId="6" fontId="7" fillId="3" borderId="32" xfId="0" applyNumberFormat="1" applyFont="1" applyFill="1" applyBorder="1"/>
    <xf numFmtId="6" fontId="11" fillId="0" borderId="32" xfId="0" applyNumberFormat="1" applyFont="1" applyBorder="1"/>
    <xf numFmtId="6" fontId="7" fillId="3" borderId="33" xfId="0" applyNumberFormat="1" applyFont="1" applyFill="1" applyBorder="1"/>
    <xf numFmtId="6" fontId="11" fillId="0" borderId="31" xfId="0" applyNumberFormat="1" applyFont="1" applyBorder="1"/>
    <xf numFmtId="0" fontId="7" fillId="0" borderId="0" xfId="0" applyFont="1"/>
    <xf numFmtId="0" fontId="11" fillId="2" borderId="31" xfId="0" applyFont="1" applyFill="1" applyBorder="1"/>
    <xf numFmtId="6" fontId="11" fillId="0" borderId="33" xfId="0" applyNumberFormat="1" applyFont="1" applyBorder="1"/>
    <xf numFmtId="0" fontId="7" fillId="2" borderId="16" xfId="0" applyFont="1" applyFill="1" applyBorder="1" applyAlignment="1"/>
    <xf numFmtId="0" fontId="0" fillId="2" borderId="17" xfId="0" applyFill="1" applyBorder="1" applyAlignment="1"/>
    <xf numFmtId="0" fontId="0" fillId="2" borderId="18" xfId="0" applyFill="1" applyBorder="1" applyAlignment="1"/>
    <xf numFmtId="14" fontId="7" fillId="0" borderId="22" xfId="0" applyNumberFormat="1" applyFont="1" applyFill="1" applyBorder="1" applyAlignment="1">
      <alignment horizontal="center" vertical="center"/>
    </xf>
    <xf numFmtId="164" fontId="0" fillId="0" borderId="0" xfId="0" applyNumberFormat="1"/>
    <xf numFmtId="164" fontId="3" fillId="0" borderId="0" xfId="0" applyNumberFormat="1" applyFont="1"/>
    <xf numFmtId="0" fontId="13" fillId="0" borderId="0" xfId="0" applyFont="1"/>
    <xf numFmtId="0" fontId="12" fillId="0" borderId="0" xfId="0" applyFont="1"/>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0" fillId="0" borderId="6" xfId="0" applyBorder="1"/>
    <xf numFmtId="0" fontId="0" fillId="0" borderId="7" xfId="0" applyBorder="1"/>
    <xf numFmtId="0" fontId="16" fillId="0" borderId="6" xfId="1" applyBorder="1" applyAlignment="1">
      <alignment vertical="center"/>
    </xf>
    <xf numFmtId="0" fontId="1" fillId="0" borderId="6" xfId="0" applyFont="1" applyBorder="1" applyAlignment="1">
      <alignment vertical="top" wrapText="1"/>
    </xf>
    <xf numFmtId="0" fontId="1" fillId="0" borderId="4" xfId="0" applyFont="1" applyBorder="1" applyAlignment="1">
      <alignment vertical="top" wrapText="1"/>
    </xf>
    <xf numFmtId="0" fontId="1" fillId="0" borderId="5" xfId="0" applyFont="1" applyBorder="1" applyAlignment="1">
      <alignment vertical="center" wrapText="1"/>
    </xf>
    <xf numFmtId="0" fontId="1" fillId="0" borderId="4" xfId="0" applyFont="1" applyBorder="1" applyAlignment="1">
      <alignment vertical="center" wrapText="1"/>
    </xf>
    <xf numFmtId="0" fontId="0" fillId="0" borderId="4" xfId="0" applyBorder="1"/>
    <xf numFmtId="0" fontId="0" fillId="0" borderId="5" xfId="0" applyBorder="1"/>
    <xf numFmtId="0" fontId="1" fillId="0" borderId="6" xfId="0" applyFont="1" applyBorder="1" applyAlignment="1">
      <alignment horizontal="right" vertical="center" wrapText="1"/>
    </xf>
    <xf numFmtId="164" fontId="1" fillId="0" borderId="7" xfId="0" applyNumberFormat="1" applyFont="1" applyBorder="1" applyAlignment="1">
      <alignment vertical="center" wrapText="1"/>
    </xf>
    <xf numFmtId="0" fontId="1" fillId="0" borderId="7" xfId="0" applyFont="1" applyBorder="1" applyAlignment="1">
      <alignment horizontal="right" vertical="center" wrapText="1"/>
    </xf>
    <xf numFmtId="164" fontId="1" fillId="0" borderId="8"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4" fillId="3" borderId="36" xfId="0" applyNumberFormat="1" applyFont="1" applyFill="1" applyBorder="1"/>
    <xf numFmtId="164" fontId="3" fillId="0" borderId="37" xfId="0" applyNumberFormat="1" applyFont="1" applyBorder="1"/>
    <xf numFmtId="0" fontId="3" fillId="0" borderId="37" xfId="0" applyFont="1" applyBorder="1"/>
    <xf numFmtId="164" fontId="4" fillId="3" borderId="37" xfId="0" applyNumberFormat="1" applyFont="1" applyFill="1" applyBorder="1"/>
    <xf numFmtId="0" fontId="3" fillId="0" borderId="37" xfId="0" applyFont="1" applyFill="1" applyBorder="1"/>
    <xf numFmtId="164" fontId="4" fillId="3" borderId="38" xfId="0" applyNumberFormat="1" applyFont="1" applyFill="1" applyBorder="1"/>
    <xf numFmtId="164" fontId="4" fillId="3" borderId="24" xfId="0" applyNumberFormat="1" applyFont="1" applyFill="1" applyBorder="1"/>
    <xf numFmtId="0" fontId="4" fillId="3" borderId="24" xfId="0" applyFont="1" applyFill="1" applyBorder="1"/>
    <xf numFmtId="6" fontId="4" fillId="3" borderId="24" xfId="0" applyNumberFormat="1" applyFont="1" applyFill="1" applyBorder="1"/>
    <xf numFmtId="0" fontId="18" fillId="0" borderId="0" xfId="0" applyFont="1"/>
    <xf numFmtId="164" fontId="4" fillId="0" borderId="37" xfId="0" applyNumberFormat="1" applyFont="1" applyFill="1" applyBorder="1"/>
    <xf numFmtId="164" fontId="4" fillId="0" borderId="37" xfId="0" applyNumberFormat="1" applyFont="1" applyBorder="1"/>
    <xf numFmtId="164" fontId="4" fillId="3" borderId="39" xfId="0" applyNumberFormat="1" applyFont="1" applyFill="1" applyBorder="1"/>
    <xf numFmtId="0" fontId="4" fillId="0" borderId="0" xfId="0" applyFont="1" applyBorder="1" applyAlignment="1">
      <alignment horizontal="left"/>
    </xf>
    <xf numFmtId="0" fontId="3" fillId="0" borderId="1" xfId="0" applyFont="1" applyBorder="1"/>
    <xf numFmtId="0" fontId="3" fillId="0" borderId="1" xfId="0" applyFont="1" applyFill="1" applyBorder="1"/>
    <xf numFmtId="0" fontId="4" fillId="0" borderId="1" xfId="0" applyFont="1" applyBorder="1"/>
    <xf numFmtId="0" fontId="3" fillId="0" borderId="0" xfId="0" applyFont="1" applyAlignment="1">
      <alignment horizontal="left" vertical="center" wrapText="1"/>
    </xf>
    <xf numFmtId="0" fontId="3" fillId="0" borderId="0" xfId="0" applyFont="1" applyAlignment="1">
      <alignment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3" fillId="0" borderId="0" xfId="0" applyFont="1" applyAlignment="1">
      <alignment vertical="center" wrapText="1"/>
    </xf>
    <xf numFmtId="0" fontId="17" fillId="4" borderId="1" xfId="0" applyFont="1" applyFill="1" applyBorder="1" applyAlignment="1">
      <alignment horizontal="center" vertical="center" wrapText="1"/>
    </xf>
    <xf numFmtId="164" fontId="17" fillId="4" borderId="1" xfId="0" applyNumberFormat="1" applyFont="1" applyFill="1" applyBorder="1" applyAlignment="1">
      <alignment horizontal="center" vertical="center" wrapText="1"/>
    </xf>
    <xf numFmtId="164" fontId="17" fillId="4" borderId="1" xfId="0" applyNumberFormat="1" applyFont="1" applyFill="1" applyBorder="1" applyAlignment="1">
      <alignment vertical="center" wrapText="1"/>
    </xf>
    <xf numFmtId="0" fontId="3" fillId="0" borderId="1" xfId="0" applyFont="1" applyBorder="1" applyAlignment="1">
      <alignment horizontal="center" vertical="center"/>
    </xf>
    <xf numFmtId="164" fontId="3" fillId="0" borderId="1" xfId="0" applyNumberFormat="1" applyFont="1" applyBorder="1"/>
    <xf numFmtId="6" fontId="1" fillId="0" borderId="8" xfId="0" applyNumberFormat="1" applyFont="1" applyBorder="1" applyAlignment="1">
      <alignment horizontal="right" vertical="center" wrapText="1"/>
    </xf>
    <xf numFmtId="6" fontId="1" fillId="0" borderId="6" xfId="0" applyNumberFormat="1" applyFont="1" applyBorder="1" applyAlignment="1">
      <alignment horizontal="right" vertical="center" wrapText="1"/>
    </xf>
    <xf numFmtId="6" fontId="1" fillId="0" borderId="6" xfId="0" applyNumberFormat="1" applyFont="1" applyBorder="1" applyAlignment="1">
      <alignment vertical="center" wrapText="1"/>
    </xf>
    <xf numFmtId="0" fontId="21" fillId="0" borderId="0" xfId="0" applyFont="1" applyFill="1"/>
    <xf numFmtId="0" fontId="14" fillId="0" borderId="35" xfId="0" applyFont="1" applyBorder="1" applyAlignment="1">
      <alignment vertical="center" wrapText="1"/>
    </xf>
    <xf numFmtId="49" fontId="15" fillId="2" borderId="2" xfId="0" applyNumberFormat="1" applyFont="1" applyFill="1" applyBorder="1" applyAlignment="1">
      <alignment horizontal="center" vertical="center"/>
    </xf>
    <xf numFmtId="49" fontId="15" fillId="2" borderId="34" xfId="0" applyNumberFormat="1" applyFont="1" applyFill="1" applyBorder="1" applyAlignment="1">
      <alignment horizontal="center" vertical="center"/>
    </xf>
    <xf numFmtId="49" fontId="15" fillId="2" borderId="3" xfId="0" applyNumberFormat="1" applyFont="1" applyFill="1" applyBorder="1" applyAlignment="1">
      <alignment horizontal="center" vertical="center"/>
    </xf>
    <xf numFmtId="0" fontId="15" fillId="2" borderId="2" xfId="0" applyFont="1" applyFill="1" applyBorder="1" applyAlignment="1">
      <alignment horizontal="center" vertical="center"/>
    </xf>
    <xf numFmtId="0" fontId="15" fillId="2" borderId="34" xfId="0" applyFont="1" applyFill="1" applyBorder="1" applyAlignment="1">
      <alignment horizontal="center" vertical="center"/>
    </xf>
    <xf numFmtId="0" fontId="15" fillId="2" borderId="3" xfId="0" applyFont="1" applyFill="1" applyBorder="1" applyAlignment="1">
      <alignment horizontal="center" vertical="center"/>
    </xf>
    <xf numFmtId="0" fontId="2" fillId="0" borderId="0" xfId="0" applyFont="1" applyAlignment="1">
      <alignment horizontal="center" vertical="center"/>
    </xf>
    <xf numFmtId="0" fontId="5" fillId="2" borderId="9"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17" fillId="0" borderId="15" xfId="0" applyFont="1" applyBorder="1" applyAlignment="1">
      <alignment horizontal="left" vertical="center" wrapText="1"/>
    </xf>
    <xf numFmtId="0" fontId="0" fillId="0" borderId="15" xfId="0" applyBorder="1" applyAlignment="1">
      <alignment vertical="center"/>
    </xf>
    <xf numFmtId="0" fontId="7" fillId="2" borderId="25" xfId="0" applyFont="1" applyFill="1" applyBorder="1" applyAlignment="1"/>
    <xf numFmtId="0" fontId="0" fillId="0" borderId="28" xfId="0" applyBorder="1" applyAlignment="1"/>
    <xf numFmtId="0" fontId="0" fillId="0" borderId="29" xfId="0" applyBorder="1" applyAlignment="1"/>
    <xf numFmtId="0" fontId="9" fillId="0" borderId="0" xfId="0" applyFont="1" applyFill="1" applyBorder="1" applyAlignment="1">
      <alignment horizontal="center" vertical="center"/>
    </xf>
    <xf numFmtId="0" fontId="10" fillId="0" borderId="0" xfId="0" applyFont="1" applyFill="1" applyAlignment="1"/>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xf>
    <xf numFmtId="0" fontId="20" fillId="0" borderId="0" xfId="0" applyFont="1" applyAlignment="1">
      <alignment horizontal="left"/>
    </xf>
    <xf numFmtId="0" fontId="11" fillId="0" borderId="0" xfId="0" applyFont="1" applyFill="1" applyBorder="1"/>
    <xf numFmtId="0" fontId="7" fillId="2" borderId="16" xfId="0" applyFont="1" applyFill="1" applyBorder="1" applyAlignment="1"/>
    <xf numFmtId="0" fontId="0" fillId="2" borderId="17" xfId="0" applyFill="1" applyBorder="1" applyAlignment="1"/>
    <xf numFmtId="0" fontId="0" fillId="2" borderId="18" xfId="0" applyFill="1" applyBorder="1" applyAlignment="1"/>
    <xf numFmtId="0" fontId="3" fillId="0" borderId="0" xfId="0" applyFont="1" applyAlignment="1">
      <alignment horizontal="left" vertical="center" wrapText="1"/>
    </xf>
    <xf numFmtId="0" fontId="3" fillId="0" borderId="0" xfId="0" applyFont="1" applyAlignment="1">
      <alignment wrapText="1"/>
    </xf>
    <xf numFmtId="0" fontId="2" fillId="0" borderId="0" xfId="0" applyFont="1" applyAlignment="1">
      <alignment horizontal="center"/>
    </xf>
    <xf numFmtId="0" fontId="2" fillId="0" borderId="0" xfId="0" applyFont="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A50E2-9923-4165-B51F-6F8F3ED7EA58}">
  <sheetPr>
    <pageSetUpPr fitToPage="1"/>
  </sheetPr>
  <dimension ref="A1:I19"/>
  <sheetViews>
    <sheetView showGridLines="0" topLeftCell="A8" zoomScale="70" zoomScaleNormal="70" workbookViewId="0">
      <selection activeCell="A5" sqref="A5:I19"/>
    </sheetView>
  </sheetViews>
  <sheetFormatPr baseColWidth="10" defaultRowHeight="15" x14ac:dyDescent="0.25"/>
  <cols>
    <col min="1" max="1" width="35.42578125" customWidth="1"/>
    <col min="2" max="2" width="10.140625" customWidth="1"/>
    <col min="3" max="3" width="35.42578125" customWidth="1"/>
    <col min="4" max="4" width="12.5703125" customWidth="1"/>
    <col min="5" max="5" width="3.7109375" customWidth="1"/>
    <col min="6" max="6" width="35.42578125" customWidth="1"/>
    <col min="7" max="7" width="10.140625" customWidth="1"/>
    <col min="8" max="8" width="35.42578125" customWidth="1"/>
    <col min="9" max="9" width="10.140625" customWidth="1"/>
  </cols>
  <sheetData>
    <row r="1" spans="1:9" ht="56.45" customHeight="1" x14ac:dyDescent="0.25">
      <c r="A1" s="123" t="s">
        <v>173</v>
      </c>
      <c r="B1" s="123"/>
      <c r="C1" s="123"/>
      <c r="D1" s="123"/>
      <c r="E1" s="123"/>
      <c r="F1" s="123"/>
      <c r="G1" s="123"/>
      <c r="H1" s="123"/>
      <c r="I1" s="123"/>
    </row>
    <row r="2" spans="1:9" ht="75" customHeight="1" thickBot="1" x14ac:dyDescent="0.3">
      <c r="A2" s="116" t="s">
        <v>174</v>
      </c>
      <c r="B2" s="116"/>
      <c r="C2" s="116"/>
      <c r="D2" s="116"/>
      <c r="E2" s="64"/>
      <c r="F2" s="116" t="s">
        <v>175</v>
      </c>
      <c r="G2" s="116"/>
      <c r="H2" s="116"/>
      <c r="I2" s="116"/>
    </row>
    <row r="3" spans="1:9" ht="32.450000000000003" customHeight="1" thickBot="1" x14ac:dyDescent="0.3">
      <c r="A3" s="117" t="s">
        <v>176</v>
      </c>
      <c r="B3" s="118"/>
      <c r="C3" s="118"/>
      <c r="D3" s="119"/>
      <c r="E3" s="65"/>
      <c r="F3" s="120" t="s">
        <v>47</v>
      </c>
      <c r="G3" s="121"/>
      <c r="H3" s="121"/>
      <c r="I3" s="122"/>
    </row>
    <row r="4" spans="1:9" ht="32.450000000000003" customHeight="1" thickBot="1" x14ac:dyDescent="0.3">
      <c r="A4" s="66" t="s">
        <v>9</v>
      </c>
      <c r="B4" s="66" t="s">
        <v>177</v>
      </c>
      <c r="C4" s="67" t="s">
        <v>178</v>
      </c>
      <c r="D4" s="66" t="s">
        <v>177</v>
      </c>
      <c r="E4" s="65"/>
      <c r="F4" s="66" t="s">
        <v>103</v>
      </c>
      <c r="G4" s="66" t="s">
        <v>177</v>
      </c>
      <c r="H4" s="67" t="s">
        <v>15</v>
      </c>
      <c r="I4" s="66" t="s">
        <v>177</v>
      </c>
    </row>
    <row r="5" spans="1:9" ht="32.450000000000003" customHeight="1" x14ac:dyDescent="0.25">
      <c r="A5" s="68" t="s">
        <v>49</v>
      </c>
      <c r="B5" s="80" t="s">
        <v>96</v>
      </c>
      <c r="C5" s="69" t="s">
        <v>110</v>
      </c>
      <c r="D5" s="81">
        <v>840</v>
      </c>
      <c r="F5" s="70" t="s">
        <v>172</v>
      </c>
      <c r="G5" s="83">
        <v>10000</v>
      </c>
      <c r="H5" s="70" t="s">
        <v>105</v>
      </c>
      <c r="I5" s="112"/>
    </row>
    <row r="6" spans="1:9" ht="32.450000000000003" customHeight="1" x14ac:dyDescent="0.25">
      <c r="A6" s="68" t="s">
        <v>111</v>
      </c>
      <c r="B6" s="80" t="s">
        <v>112</v>
      </c>
      <c r="C6" s="69" t="s">
        <v>113</v>
      </c>
      <c r="D6" s="81">
        <v>126</v>
      </c>
      <c r="F6" s="68" t="s">
        <v>104</v>
      </c>
      <c r="G6" s="113"/>
      <c r="H6" s="68" t="s">
        <v>106</v>
      </c>
      <c r="I6" s="114"/>
    </row>
    <row r="7" spans="1:9" ht="32.450000000000003" customHeight="1" x14ac:dyDescent="0.25">
      <c r="A7" s="68" t="s">
        <v>114</v>
      </c>
      <c r="B7" s="80" t="s">
        <v>115</v>
      </c>
      <c r="C7" s="69" t="s">
        <v>99</v>
      </c>
      <c r="D7" s="82" t="s">
        <v>97</v>
      </c>
      <c r="F7" s="68" t="s">
        <v>132</v>
      </c>
      <c r="G7" s="84" t="s">
        <v>171</v>
      </c>
      <c r="H7" s="68" t="s">
        <v>180</v>
      </c>
      <c r="I7" s="68"/>
    </row>
    <row r="8" spans="1:9" ht="32.450000000000003" customHeight="1" x14ac:dyDescent="0.25">
      <c r="A8" s="68" t="s">
        <v>12</v>
      </c>
      <c r="B8" s="80" t="s">
        <v>116</v>
      </c>
      <c r="C8" s="69" t="s">
        <v>100</v>
      </c>
      <c r="D8" s="82" t="s">
        <v>102</v>
      </c>
      <c r="F8" s="68"/>
      <c r="G8" s="68"/>
      <c r="H8" s="68"/>
      <c r="I8" s="68"/>
    </row>
    <row r="9" spans="1:9" ht="32.450000000000003" customHeight="1" x14ac:dyDescent="0.25">
      <c r="A9" s="68" t="s">
        <v>93</v>
      </c>
      <c r="B9" s="80" t="s">
        <v>97</v>
      </c>
      <c r="C9" s="69" t="s">
        <v>101</v>
      </c>
      <c r="D9" s="82" t="s">
        <v>97</v>
      </c>
      <c r="F9" s="68"/>
      <c r="G9" s="68"/>
      <c r="H9" s="68"/>
      <c r="I9" s="68"/>
    </row>
    <row r="10" spans="1:9" ht="32.450000000000003" customHeight="1" x14ac:dyDescent="0.25">
      <c r="A10" s="68" t="s">
        <v>94</v>
      </c>
      <c r="B10" s="80" t="s">
        <v>97</v>
      </c>
      <c r="C10" s="69" t="s">
        <v>179</v>
      </c>
      <c r="D10" s="82" t="s">
        <v>97</v>
      </c>
      <c r="F10" s="68"/>
      <c r="G10" s="68"/>
      <c r="H10" s="68"/>
      <c r="I10" s="68"/>
    </row>
    <row r="11" spans="1:9" ht="32.450000000000003" customHeight="1" x14ac:dyDescent="0.25">
      <c r="A11" s="68" t="s">
        <v>95</v>
      </c>
      <c r="B11" s="80" t="s">
        <v>98</v>
      </c>
      <c r="C11" s="69"/>
      <c r="D11" s="69"/>
      <c r="F11" s="68"/>
      <c r="G11" s="71"/>
      <c r="H11" s="68"/>
      <c r="I11" s="72"/>
    </row>
    <row r="12" spans="1:9" ht="32.450000000000003" customHeight="1" x14ac:dyDescent="0.25">
      <c r="A12" s="68"/>
      <c r="B12" s="68"/>
      <c r="C12" s="69"/>
      <c r="D12" s="69"/>
      <c r="F12" s="68"/>
      <c r="G12" s="71"/>
      <c r="H12" s="68"/>
      <c r="I12" s="72"/>
    </row>
    <row r="13" spans="1:9" ht="32.450000000000003" customHeight="1" x14ac:dyDescent="0.25">
      <c r="A13" s="68"/>
      <c r="B13" s="68"/>
      <c r="C13" s="69"/>
      <c r="D13" s="69"/>
      <c r="F13" s="68"/>
      <c r="G13" s="73"/>
      <c r="H13" s="68"/>
      <c r="I13" s="72"/>
    </row>
    <row r="14" spans="1:9" ht="32.450000000000003" customHeight="1" x14ac:dyDescent="0.25">
      <c r="A14" s="68"/>
      <c r="B14" s="68"/>
      <c r="C14" s="68"/>
      <c r="D14" s="69"/>
      <c r="F14" s="68"/>
      <c r="G14" s="71"/>
      <c r="H14" s="68"/>
      <c r="I14" s="72"/>
    </row>
    <row r="15" spans="1:9" ht="32.450000000000003" customHeight="1" x14ac:dyDescent="0.25">
      <c r="A15" s="68"/>
      <c r="B15" s="68"/>
      <c r="C15" s="68"/>
      <c r="D15" s="69"/>
      <c r="F15" s="68"/>
      <c r="G15" s="73"/>
      <c r="H15" s="68"/>
      <c r="I15" s="72"/>
    </row>
    <row r="16" spans="1:9" ht="32.450000000000003" customHeight="1" x14ac:dyDescent="0.25">
      <c r="A16" s="68"/>
      <c r="B16" s="68"/>
      <c r="C16" s="68"/>
      <c r="D16" s="69"/>
      <c r="F16" s="68"/>
      <c r="G16" s="71"/>
      <c r="H16" s="68"/>
      <c r="I16" s="72"/>
    </row>
    <row r="17" spans="1:9" ht="32.450000000000003" customHeight="1" x14ac:dyDescent="0.25">
      <c r="A17" s="68"/>
      <c r="B17" s="68"/>
      <c r="C17" s="68"/>
      <c r="D17" s="69"/>
      <c r="F17" s="68"/>
      <c r="G17" s="71"/>
      <c r="H17" s="68"/>
      <c r="I17" s="72"/>
    </row>
    <row r="18" spans="1:9" ht="32.450000000000003" customHeight="1" x14ac:dyDescent="0.25">
      <c r="A18" s="68"/>
      <c r="B18" s="74"/>
      <c r="C18" s="68"/>
      <c r="D18" s="69"/>
      <c r="F18" s="68"/>
      <c r="G18" s="71"/>
      <c r="H18" s="68"/>
      <c r="I18" s="72"/>
    </row>
    <row r="19" spans="1:9" ht="32.450000000000003" customHeight="1" thickBot="1" x14ac:dyDescent="0.3">
      <c r="A19" s="75"/>
      <c r="B19" s="75"/>
      <c r="C19" s="76"/>
      <c r="D19" s="76"/>
      <c r="F19" s="77"/>
      <c r="G19" s="78"/>
      <c r="H19" s="77"/>
      <c r="I19" s="79"/>
    </row>
  </sheetData>
  <mergeCells count="5">
    <mergeCell ref="A2:D2"/>
    <mergeCell ref="F2:I2"/>
    <mergeCell ref="A3:D3"/>
    <mergeCell ref="F3:I3"/>
    <mergeCell ref="A1:I1"/>
  </mergeCells>
  <pageMargins left="0.7" right="0.7"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282B0-ECC1-4657-84DB-05CF7EB3671C}">
  <sheetPr>
    <pageSetUpPr fitToPage="1"/>
  </sheetPr>
  <dimension ref="A1:F44"/>
  <sheetViews>
    <sheetView showGridLines="0" workbookViewId="0">
      <selection activeCell="A37" sqref="A37:B37"/>
    </sheetView>
  </sheetViews>
  <sheetFormatPr baseColWidth="10" defaultColWidth="10.85546875" defaultRowHeight="12.75" x14ac:dyDescent="0.2"/>
  <cols>
    <col min="1" max="1" width="40.5703125" style="1" customWidth="1"/>
    <col min="2" max="2" width="10.85546875" style="1"/>
    <col min="3" max="3" width="43.42578125" style="1" bestFit="1" customWidth="1"/>
    <col min="4" max="16384" width="10.85546875" style="1"/>
  </cols>
  <sheetData>
    <row r="1" spans="1:6" ht="45" customHeight="1" x14ac:dyDescent="0.2">
      <c r="A1" s="123" t="s">
        <v>44</v>
      </c>
      <c r="B1" s="123"/>
      <c r="C1" s="123"/>
      <c r="D1" s="123"/>
    </row>
    <row r="2" spans="1:6" ht="55.5" customHeight="1" thickBot="1" x14ac:dyDescent="0.25">
      <c r="A2" s="127" t="s">
        <v>181</v>
      </c>
      <c r="B2" s="128"/>
      <c r="C2" s="128"/>
      <c r="D2" s="128"/>
    </row>
    <row r="3" spans="1:6" s="2" customFormat="1" ht="45" customHeight="1" thickTop="1" thickBot="1" x14ac:dyDescent="0.3">
      <c r="A3" s="124" t="s">
        <v>39</v>
      </c>
      <c r="B3" s="124"/>
      <c r="C3" s="125" t="s">
        <v>38</v>
      </c>
      <c r="D3" s="126"/>
    </row>
    <row r="4" spans="1:6" ht="14.1" customHeight="1" thickTop="1" x14ac:dyDescent="0.2">
      <c r="A4" s="35" t="s">
        <v>88</v>
      </c>
      <c r="B4" s="85">
        <f>SUM(B5:B7)</f>
        <v>11145.42</v>
      </c>
      <c r="C4" s="36" t="s">
        <v>17</v>
      </c>
      <c r="D4" s="85">
        <f>SUM(D5:D8)</f>
        <v>68587.199999999997</v>
      </c>
    </row>
    <row r="5" spans="1:6" ht="14.1" customHeight="1" x14ac:dyDescent="0.2">
      <c r="A5" s="4" t="s">
        <v>107</v>
      </c>
      <c r="B5" s="86">
        <f>D5*30/100</f>
        <v>11145.42</v>
      </c>
      <c r="C5" s="4" t="s">
        <v>108</v>
      </c>
      <c r="D5" s="86">
        <f>780*4.33*11</f>
        <v>37151.4</v>
      </c>
      <c r="F5" s="63"/>
    </row>
    <row r="6" spans="1:6" ht="14.1" customHeight="1" x14ac:dyDescent="0.2">
      <c r="A6" s="4" t="s">
        <v>21</v>
      </c>
      <c r="B6" s="86"/>
      <c r="C6" s="4" t="s">
        <v>18</v>
      </c>
      <c r="D6" s="86"/>
    </row>
    <row r="7" spans="1:6" ht="14.1" customHeight="1" x14ac:dyDescent="0.2">
      <c r="A7" s="4" t="s">
        <v>69</v>
      </c>
      <c r="B7" s="86"/>
      <c r="C7" s="4" t="s">
        <v>127</v>
      </c>
      <c r="D7" s="86">
        <f>480*4.33*11</f>
        <v>22862.400000000001</v>
      </c>
    </row>
    <row r="8" spans="1:6" ht="14.1" customHeight="1" x14ac:dyDescent="0.2">
      <c r="A8" s="4"/>
      <c r="B8" s="87"/>
      <c r="C8" s="4" t="s">
        <v>109</v>
      </c>
      <c r="D8" s="86">
        <f>180*4.33*11</f>
        <v>8573.4</v>
      </c>
    </row>
    <row r="9" spans="1:6" ht="14.1" customHeight="1" x14ac:dyDescent="0.2">
      <c r="A9" s="36" t="s">
        <v>0</v>
      </c>
      <c r="B9" s="88">
        <f>SUM(B10:B24)</f>
        <v>21192</v>
      </c>
      <c r="C9" s="4"/>
      <c r="D9" s="87"/>
    </row>
    <row r="10" spans="1:6" ht="14.1" customHeight="1" x14ac:dyDescent="0.2">
      <c r="A10" s="4" t="s">
        <v>22</v>
      </c>
      <c r="B10" s="86"/>
      <c r="C10" s="37" t="s">
        <v>19</v>
      </c>
      <c r="D10" s="88">
        <f>SUM(D11:D12)</f>
        <v>0</v>
      </c>
    </row>
    <row r="11" spans="1:6" ht="14.1" customHeight="1" x14ac:dyDescent="0.2">
      <c r="A11" s="4" t="s">
        <v>6</v>
      </c>
      <c r="B11" s="86">
        <f>(840+126)*12</f>
        <v>11592</v>
      </c>
      <c r="C11" s="4" t="s">
        <v>42</v>
      </c>
      <c r="D11" s="86"/>
    </row>
    <row r="12" spans="1:6" ht="14.1" customHeight="1" x14ac:dyDescent="0.2">
      <c r="A12" s="4" t="s">
        <v>1</v>
      </c>
      <c r="B12" s="86">
        <v>1200</v>
      </c>
      <c r="C12" s="4" t="s">
        <v>43</v>
      </c>
      <c r="D12" s="86"/>
    </row>
    <row r="13" spans="1:6" ht="14.1" customHeight="1" x14ac:dyDescent="0.2">
      <c r="A13" s="4" t="s">
        <v>26</v>
      </c>
      <c r="B13" s="86">
        <f>50*12</f>
        <v>600</v>
      </c>
      <c r="C13" s="4"/>
      <c r="D13" s="87"/>
    </row>
    <row r="14" spans="1:6" ht="14.1" customHeight="1" x14ac:dyDescent="0.2">
      <c r="A14" s="4" t="s">
        <v>5</v>
      </c>
      <c r="B14" s="86">
        <v>1200</v>
      </c>
      <c r="C14" s="4"/>
      <c r="D14" s="87"/>
    </row>
    <row r="15" spans="1:6" ht="14.1" customHeight="1" x14ac:dyDescent="0.2">
      <c r="A15" s="4" t="s">
        <v>2</v>
      </c>
      <c r="B15" s="86"/>
      <c r="C15" s="4"/>
      <c r="D15" s="87"/>
    </row>
    <row r="16" spans="1:6" ht="14.1" customHeight="1" x14ac:dyDescent="0.2">
      <c r="A16" s="4" t="s">
        <v>4</v>
      </c>
      <c r="B16" s="86"/>
      <c r="C16" s="4"/>
      <c r="D16" s="87"/>
    </row>
    <row r="17" spans="1:4" ht="14.1" customHeight="1" x14ac:dyDescent="0.2">
      <c r="A17" s="4" t="s">
        <v>3</v>
      </c>
      <c r="B17" s="86"/>
      <c r="C17" s="4"/>
      <c r="D17" s="87"/>
    </row>
    <row r="18" spans="1:4" ht="14.1" customHeight="1" x14ac:dyDescent="0.2">
      <c r="A18" s="4" t="s">
        <v>25</v>
      </c>
      <c r="B18" s="86">
        <f>200*12</f>
        <v>2400</v>
      </c>
      <c r="C18" s="4"/>
      <c r="D18" s="87"/>
    </row>
    <row r="19" spans="1:4" ht="14.1" customHeight="1" x14ac:dyDescent="0.2">
      <c r="A19" s="4" t="s">
        <v>23</v>
      </c>
      <c r="B19" s="86">
        <f>200*12</f>
        <v>2400</v>
      </c>
      <c r="C19" s="4"/>
      <c r="D19" s="87"/>
    </row>
    <row r="20" spans="1:4" ht="14.1" customHeight="1" x14ac:dyDescent="0.2">
      <c r="A20" s="4" t="s">
        <v>24</v>
      </c>
      <c r="B20" s="86">
        <v>1800</v>
      </c>
      <c r="C20" s="4"/>
      <c r="D20" s="87"/>
    </row>
    <row r="21" spans="1:4" ht="14.1" customHeight="1" x14ac:dyDescent="0.2">
      <c r="A21" s="4" t="s">
        <v>27</v>
      </c>
      <c r="B21" s="86"/>
      <c r="C21" s="4"/>
      <c r="D21" s="87"/>
    </row>
    <row r="22" spans="1:4" ht="14.1" customHeight="1" x14ac:dyDescent="0.2">
      <c r="A22" s="4" t="s">
        <v>27</v>
      </c>
      <c r="B22" s="86"/>
      <c r="C22" s="4"/>
      <c r="D22" s="87"/>
    </row>
    <row r="23" spans="1:4" ht="14.1" customHeight="1" x14ac:dyDescent="0.2">
      <c r="A23" s="4" t="s">
        <v>27</v>
      </c>
      <c r="B23" s="86"/>
      <c r="C23" s="4"/>
      <c r="D23" s="87"/>
    </row>
    <row r="24" spans="1:4" ht="14.1" customHeight="1" x14ac:dyDescent="0.2">
      <c r="A24" s="4" t="s">
        <v>27</v>
      </c>
      <c r="B24" s="86"/>
      <c r="C24" s="4"/>
      <c r="D24" s="87"/>
    </row>
    <row r="25" spans="1:4" ht="14.1" customHeight="1" x14ac:dyDescent="0.2">
      <c r="A25" s="4"/>
      <c r="B25" s="87"/>
      <c r="C25" s="4"/>
      <c r="D25" s="87"/>
    </row>
    <row r="26" spans="1:4" ht="14.1" customHeight="1" x14ac:dyDescent="0.2">
      <c r="A26" s="36" t="s">
        <v>14</v>
      </c>
      <c r="B26" s="88">
        <f>SUM(B27:B29)</f>
        <v>0</v>
      </c>
      <c r="C26" s="4"/>
      <c r="D26" s="87"/>
    </row>
    <row r="27" spans="1:4" ht="14.1" customHeight="1" x14ac:dyDescent="0.2">
      <c r="A27" s="6" t="s">
        <v>70</v>
      </c>
      <c r="B27" s="86"/>
      <c r="C27" s="4"/>
      <c r="D27" s="87"/>
    </row>
    <row r="28" spans="1:4" ht="14.1" customHeight="1" x14ac:dyDescent="0.2">
      <c r="A28" s="4" t="s">
        <v>71</v>
      </c>
      <c r="B28" s="86"/>
      <c r="C28" s="4"/>
      <c r="D28" s="87"/>
    </row>
    <row r="29" spans="1:4" ht="14.1" customHeight="1" x14ac:dyDescent="0.2">
      <c r="A29" s="4" t="s">
        <v>72</v>
      </c>
      <c r="B29" s="86"/>
      <c r="C29" s="4"/>
      <c r="D29" s="87"/>
    </row>
    <row r="30" spans="1:4" ht="14.1" customHeight="1" x14ac:dyDescent="0.2">
      <c r="A30" s="4"/>
      <c r="B30" s="87"/>
      <c r="C30" s="4"/>
      <c r="D30" s="87"/>
    </row>
    <row r="31" spans="1:4" ht="14.1" customHeight="1" x14ac:dyDescent="0.2">
      <c r="A31" s="36" t="s">
        <v>28</v>
      </c>
      <c r="B31" s="88">
        <f>SUM(B32:B35)</f>
        <v>36480</v>
      </c>
      <c r="C31" s="4"/>
      <c r="D31" s="87"/>
    </row>
    <row r="32" spans="1:4" ht="14.1" customHeight="1" x14ac:dyDescent="0.2">
      <c r="A32" s="4" t="s">
        <v>29</v>
      </c>
      <c r="B32" s="86">
        <f>900*12</f>
        <v>10800</v>
      </c>
      <c r="C32" s="4"/>
      <c r="D32" s="87"/>
    </row>
    <row r="33" spans="1:4" ht="14.1" customHeight="1" x14ac:dyDescent="0.2">
      <c r="A33" s="4" t="s">
        <v>30</v>
      </c>
      <c r="B33" s="86">
        <f>700*12</f>
        <v>8400</v>
      </c>
      <c r="C33" s="4"/>
      <c r="D33" s="87"/>
    </row>
    <row r="34" spans="1:4" ht="14.1" customHeight="1" x14ac:dyDescent="0.2">
      <c r="A34" s="4" t="s">
        <v>40</v>
      </c>
      <c r="B34" s="86">
        <v>12000</v>
      </c>
      <c r="C34" s="4"/>
      <c r="D34" s="87"/>
    </row>
    <row r="35" spans="1:4" ht="14.1" customHeight="1" x14ac:dyDescent="0.2">
      <c r="A35" s="4" t="s">
        <v>41</v>
      </c>
      <c r="B35" s="86">
        <f>+B34*0.44</f>
        <v>5280</v>
      </c>
      <c r="C35" s="4"/>
      <c r="D35" s="87"/>
    </row>
    <row r="36" spans="1:4" ht="14.1" customHeight="1" x14ac:dyDescent="0.2">
      <c r="A36" s="4"/>
      <c r="B36" s="89"/>
      <c r="C36" s="4"/>
      <c r="D36" s="87"/>
    </row>
    <row r="37" spans="1:4" ht="14.1" customHeight="1" x14ac:dyDescent="0.2">
      <c r="A37" s="36" t="s">
        <v>32</v>
      </c>
      <c r="B37" s="88"/>
      <c r="C37" s="4"/>
      <c r="D37" s="87"/>
    </row>
    <row r="38" spans="1:4" ht="14.1" customHeight="1" x14ac:dyDescent="0.2">
      <c r="A38" s="4"/>
      <c r="B38" s="89"/>
      <c r="C38" s="4"/>
      <c r="D38" s="87"/>
    </row>
    <row r="39" spans="1:4" ht="14.1" customHeight="1" x14ac:dyDescent="0.2">
      <c r="A39" s="36" t="s">
        <v>31</v>
      </c>
      <c r="B39" s="88"/>
      <c r="C39" s="36" t="s">
        <v>33</v>
      </c>
      <c r="D39" s="88"/>
    </row>
    <row r="40" spans="1:4" ht="14.1" customHeight="1" thickBot="1" x14ac:dyDescent="0.25">
      <c r="A40" s="4"/>
      <c r="B40" s="89"/>
      <c r="C40" s="4"/>
      <c r="D40" s="87"/>
    </row>
    <row r="41" spans="1:4" ht="14.1" customHeight="1" thickTop="1" thickBot="1" x14ac:dyDescent="0.25">
      <c r="A41" s="35" t="s">
        <v>34</v>
      </c>
      <c r="B41" s="90">
        <f>B4+B9+B26+B31+B37+B39</f>
        <v>68817.42</v>
      </c>
      <c r="C41" s="40" t="s">
        <v>35</v>
      </c>
      <c r="D41" s="91">
        <f>D4+D10+D39</f>
        <v>68587.199999999997</v>
      </c>
    </row>
    <row r="42" spans="1:4" ht="14.1" customHeight="1" thickBot="1" x14ac:dyDescent="0.25">
      <c r="A42" s="40" t="s">
        <v>36</v>
      </c>
      <c r="B42" s="93">
        <f>D41-B41</f>
        <v>-230.22000000000116</v>
      </c>
      <c r="C42" s="5"/>
      <c r="D42" s="5"/>
    </row>
    <row r="43" spans="1:4" ht="14.1" customHeight="1" thickBot="1" x14ac:dyDescent="0.25">
      <c r="A43" s="40" t="s">
        <v>37</v>
      </c>
      <c r="B43" s="92"/>
      <c r="C43" s="5"/>
      <c r="D43" s="5"/>
    </row>
    <row r="44" spans="1:4" ht="14.1" customHeight="1" x14ac:dyDescent="0.2"/>
  </sheetData>
  <mergeCells count="4">
    <mergeCell ref="A3:B3"/>
    <mergeCell ref="C3:D3"/>
    <mergeCell ref="A1:D1"/>
    <mergeCell ref="A2:D2"/>
  </mergeCells>
  <pageMargins left="0.7" right="0.7" top="0.75" bottom="0.75" header="0.3" footer="0.3"/>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04EB-04C8-405A-8A7A-3872AAC13E65}">
  <sheetPr>
    <pageSetUpPr fitToPage="1"/>
  </sheetPr>
  <dimension ref="A1:O68"/>
  <sheetViews>
    <sheetView showGridLines="0" tabSelected="1" topLeftCell="A46" zoomScale="90" zoomScaleNormal="90" workbookViewId="0">
      <selection activeCell="A68" sqref="A68"/>
    </sheetView>
  </sheetViews>
  <sheetFormatPr baseColWidth="10" defaultColWidth="10.85546875" defaultRowHeight="12.75" x14ac:dyDescent="0.2"/>
  <cols>
    <col min="1" max="1" width="40.85546875" style="7" customWidth="1"/>
    <col min="2" max="13" width="11.85546875" style="7" customWidth="1"/>
    <col min="14" max="14" width="1.85546875" style="7" customWidth="1"/>
    <col min="15" max="15" width="15" style="47" bestFit="1" customWidth="1"/>
    <col min="16" max="16384" width="10.85546875" style="7"/>
  </cols>
  <sheetData>
    <row r="1" spans="1:15" ht="29.1" customHeight="1" x14ac:dyDescent="0.25">
      <c r="A1" s="132" t="s">
        <v>75</v>
      </c>
      <c r="B1" s="132"/>
      <c r="C1" s="132"/>
      <c r="D1" s="132"/>
      <c r="E1" s="133"/>
      <c r="F1" s="133"/>
      <c r="G1" s="133"/>
      <c r="H1" s="133"/>
      <c r="I1" s="133"/>
      <c r="J1" s="133"/>
      <c r="K1" s="133"/>
      <c r="L1" s="133"/>
      <c r="M1" s="133"/>
    </row>
    <row r="2" spans="1:15" ht="45" customHeight="1" thickBot="1" x14ac:dyDescent="0.25">
      <c r="A2" s="134" t="s">
        <v>182</v>
      </c>
      <c r="B2" s="135"/>
      <c r="C2" s="135"/>
      <c r="D2" s="135"/>
      <c r="E2" s="136"/>
      <c r="F2" s="136"/>
      <c r="G2" s="136"/>
      <c r="H2" s="136"/>
      <c r="I2" s="136"/>
      <c r="J2" s="136"/>
      <c r="K2" s="136"/>
      <c r="L2" s="136"/>
      <c r="M2" s="136"/>
      <c r="N2" s="137"/>
      <c r="O2" s="137"/>
    </row>
    <row r="3" spans="1:15" ht="15.6" customHeight="1" thickBot="1" x14ac:dyDescent="0.25">
      <c r="A3" s="8"/>
      <c r="B3" s="61" t="s">
        <v>183</v>
      </c>
      <c r="C3" s="15" t="s">
        <v>134</v>
      </c>
      <c r="D3" s="15" t="s">
        <v>135</v>
      </c>
      <c r="E3" s="15" t="s">
        <v>136</v>
      </c>
      <c r="F3" s="15" t="s">
        <v>137</v>
      </c>
      <c r="G3" s="15" t="s">
        <v>138</v>
      </c>
      <c r="H3" s="15" t="s">
        <v>139</v>
      </c>
      <c r="I3" s="15" t="s">
        <v>140</v>
      </c>
      <c r="J3" s="15" t="s">
        <v>141</v>
      </c>
      <c r="K3" s="15" t="s">
        <v>142</v>
      </c>
      <c r="L3" s="15" t="s">
        <v>143</v>
      </c>
      <c r="M3" s="16" t="s">
        <v>144</v>
      </c>
      <c r="O3" s="49" t="s">
        <v>90</v>
      </c>
    </row>
    <row r="4" spans="1:15" ht="13.5" thickBot="1" x14ac:dyDescent="0.25">
      <c r="A4" s="17" t="s">
        <v>74</v>
      </c>
      <c r="B4" s="34"/>
      <c r="C4" s="32">
        <f>B59</f>
        <v>9002.4000000000087</v>
      </c>
      <c r="D4" s="32">
        <f t="shared" ref="D4:M4" si="0">C59</f>
        <v>5229.2000000000089</v>
      </c>
      <c r="E4" s="32">
        <f t="shared" si="0"/>
        <v>2958.8312500000093</v>
      </c>
      <c r="F4" s="32">
        <f t="shared" si="0"/>
        <v>1334.3500000000095</v>
      </c>
      <c r="G4" s="32">
        <f t="shared" si="0"/>
        <v>2318.7000000000098</v>
      </c>
      <c r="H4" s="32">
        <f t="shared" si="0"/>
        <v>2763.0500000000102</v>
      </c>
      <c r="I4" s="32">
        <f t="shared" si="0"/>
        <v>1681.5125000000098</v>
      </c>
      <c r="J4" s="32">
        <f t="shared" si="0"/>
        <v>2937.3343750000104</v>
      </c>
      <c r="K4" s="32">
        <f t="shared" si="0"/>
        <v>4467.5718750000096</v>
      </c>
      <c r="L4" s="32">
        <f t="shared" si="0"/>
        <v>4557.8093750000089</v>
      </c>
      <c r="M4" s="33">
        <f t="shared" si="0"/>
        <v>5628.0468750000082</v>
      </c>
    </row>
    <row r="5" spans="1:15" ht="6.95" customHeight="1" thickBot="1" x14ac:dyDescent="0.25">
      <c r="A5" s="13"/>
      <c r="B5" s="14"/>
      <c r="C5" s="14"/>
      <c r="D5" s="14"/>
      <c r="E5" s="14"/>
      <c r="F5" s="14"/>
      <c r="G5" s="14"/>
      <c r="H5" s="14"/>
      <c r="I5" s="14"/>
      <c r="J5" s="14"/>
      <c r="K5" s="14"/>
      <c r="L5" s="14"/>
      <c r="M5" s="14"/>
    </row>
    <row r="6" spans="1:15" ht="15" x14ac:dyDescent="0.25">
      <c r="A6" s="139" t="s">
        <v>73</v>
      </c>
      <c r="B6" s="140"/>
      <c r="C6" s="140"/>
      <c r="D6" s="140"/>
      <c r="E6" s="140"/>
      <c r="F6" s="140"/>
      <c r="G6" s="140"/>
      <c r="H6" s="140"/>
      <c r="I6" s="140"/>
      <c r="J6" s="140"/>
      <c r="K6" s="140"/>
      <c r="L6" s="140"/>
      <c r="M6" s="141"/>
      <c r="O6" s="50"/>
    </row>
    <row r="7" spans="1:15" x14ac:dyDescent="0.2">
      <c r="A7" s="22" t="s">
        <v>7</v>
      </c>
      <c r="B7" s="23">
        <f>+SUM(B8:B12)</f>
        <v>0</v>
      </c>
      <c r="C7" s="23">
        <f t="shared" ref="C7:M7" si="1">+SUM(C8:C12)</f>
        <v>0</v>
      </c>
      <c r="D7" s="23">
        <f t="shared" si="1"/>
        <v>1927.6875</v>
      </c>
      <c r="E7" s="23">
        <f t="shared" si="1"/>
        <v>3212.8125</v>
      </c>
      <c r="F7" s="23">
        <f t="shared" si="1"/>
        <v>5140.5</v>
      </c>
      <c r="G7" s="23">
        <f t="shared" si="1"/>
        <v>5140.5</v>
      </c>
      <c r="H7" s="23">
        <f t="shared" si="1"/>
        <v>3855.375</v>
      </c>
      <c r="I7" s="23">
        <f t="shared" si="1"/>
        <v>5461.7812500000009</v>
      </c>
      <c r="J7" s="23">
        <f t="shared" si="1"/>
        <v>6425.625</v>
      </c>
      <c r="K7" s="23">
        <f t="shared" si="1"/>
        <v>6425.625</v>
      </c>
      <c r="L7" s="23">
        <f t="shared" si="1"/>
        <v>6425.625</v>
      </c>
      <c r="M7" s="27">
        <f t="shared" si="1"/>
        <v>6425.625</v>
      </c>
      <c r="O7" s="51">
        <f>SUM(B7:M7)</f>
        <v>50441.15625</v>
      </c>
    </row>
    <row r="8" spans="1:15" x14ac:dyDescent="0.2">
      <c r="A8" s="11" t="s">
        <v>145</v>
      </c>
      <c r="B8" s="9">
        <v>0</v>
      </c>
      <c r="C8" s="9">
        <v>0</v>
      </c>
      <c r="D8" s="9">
        <f>('Calcul du CA prévisionnel'!B26)*1.05</f>
        <v>996.18750000000011</v>
      </c>
      <c r="E8" s="9">
        <f>'Calcul du CA prévisionnel'!B27*1.05</f>
        <v>1660.3125000000002</v>
      </c>
      <c r="F8" s="9">
        <f>'Calcul du CA prévisionnel'!B28*1.05</f>
        <v>2656.5000000000005</v>
      </c>
      <c r="G8" s="9">
        <f>'Calcul du CA prévisionnel'!B29*1.05</f>
        <v>2656.5000000000005</v>
      </c>
      <c r="H8" s="9">
        <f>'Calcul du CA prévisionnel'!B30*1.05</f>
        <v>1992.3750000000002</v>
      </c>
      <c r="I8" s="9">
        <f>'Calcul du CA prévisionnel'!B31*1.05</f>
        <v>2822.5312500000005</v>
      </c>
      <c r="J8" s="9">
        <f>'Calcul du CA prévisionnel'!B32*1.05</f>
        <v>3320.6250000000005</v>
      </c>
      <c r="K8" s="9">
        <f>'Calcul du CA prévisionnel'!B33*1.05</f>
        <v>3320.6250000000005</v>
      </c>
      <c r="L8" s="9">
        <f>'Calcul du CA prévisionnel'!B34*1.05</f>
        <v>3320.6250000000005</v>
      </c>
      <c r="M8" s="12">
        <f>'Calcul du CA prévisionnel'!B35*1.05</f>
        <v>3320.6250000000005</v>
      </c>
      <c r="O8" s="52">
        <f t="shared" ref="O8:O55" si="2">SUM(B8:M8)</f>
        <v>26066.906250000004</v>
      </c>
    </row>
    <row r="9" spans="1:15" x14ac:dyDescent="0.2">
      <c r="A9" s="11" t="s">
        <v>18</v>
      </c>
      <c r="B9" s="9"/>
      <c r="C9" s="9"/>
      <c r="D9" s="9"/>
      <c r="E9" s="9"/>
      <c r="F9" s="9"/>
      <c r="G9" s="9"/>
      <c r="H9" s="9"/>
      <c r="I9" s="9"/>
      <c r="J9" s="9"/>
      <c r="K9" s="9"/>
      <c r="L9" s="9"/>
      <c r="M9" s="12"/>
      <c r="O9" s="52">
        <f t="shared" si="2"/>
        <v>0</v>
      </c>
    </row>
    <row r="10" spans="1:15" x14ac:dyDescent="0.2">
      <c r="A10" s="11" t="s">
        <v>146</v>
      </c>
      <c r="B10" s="9">
        <v>0</v>
      </c>
      <c r="C10" s="9">
        <v>0</v>
      </c>
      <c r="D10" s="9">
        <f>'Calcul du CA prévisionnel'!C26*1.2</f>
        <v>683.1</v>
      </c>
      <c r="E10" s="9">
        <f>'Calcul du CA prévisionnel'!C27*1.2</f>
        <v>1138.5</v>
      </c>
      <c r="F10" s="9">
        <f>'Calcul du CA prévisionnel'!C28*1.2</f>
        <v>1821.6</v>
      </c>
      <c r="G10" s="9">
        <f>'Calcul du CA prévisionnel'!C29*1.2</f>
        <v>1821.6</v>
      </c>
      <c r="H10" s="9">
        <f>'Calcul du CA prévisionnel'!C30*1.2</f>
        <v>1366.2</v>
      </c>
      <c r="I10" s="9">
        <f>'Calcul du CA prévisionnel'!C31*1.2</f>
        <v>1935.4499999999998</v>
      </c>
      <c r="J10" s="9">
        <f>'Calcul du CA prévisionnel'!C32*1.2</f>
        <v>2277</v>
      </c>
      <c r="K10" s="9">
        <f>'Calcul du CA prévisionnel'!C33*1.2</f>
        <v>2277</v>
      </c>
      <c r="L10" s="9">
        <f>'Calcul du CA prévisionnel'!C34*1.2</f>
        <v>2277</v>
      </c>
      <c r="M10" s="12">
        <f>'Calcul du CA prévisionnel'!C35*1.2</f>
        <v>2277</v>
      </c>
      <c r="O10" s="52">
        <f t="shared" si="2"/>
        <v>17874.449999999997</v>
      </c>
    </row>
    <row r="11" spans="1:15" x14ac:dyDescent="0.2">
      <c r="A11" s="11" t="s">
        <v>147</v>
      </c>
      <c r="B11" s="9">
        <v>0</v>
      </c>
      <c r="C11" s="9">
        <v>0</v>
      </c>
      <c r="D11" s="9">
        <f>'Calcul du CA prévisionnel'!D26*1.2</f>
        <v>248.39999999999998</v>
      </c>
      <c r="E11" s="9">
        <f>'Calcul du CA prévisionnel'!D27*1.2</f>
        <v>414</v>
      </c>
      <c r="F11" s="9">
        <f>'Calcul du CA prévisionnel'!D28*1.2</f>
        <v>662.4</v>
      </c>
      <c r="G11" s="9">
        <f>'Calcul du CA prévisionnel'!D29*1.2</f>
        <v>662.4</v>
      </c>
      <c r="H11" s="9">
        <f>'Calcul du CA prévisionnel'!D30*1.2</f>
        <v>496.79999999999995</v>
      </c>
      <c r="I11" s="9">
        <f>'Calcul du CA prévisionnel'!D31*1.2</f>
        <v>703.8</v>
      </c>
      <c r="J11" s="9">
        <f>'Calcul du CA prévisionnel'!D32*1.2</f>
        <v>828</v>
      </c>
      <c r="K11" s="9">
        <f>'Calcul du CA prévisionnel'!D33*1.2</f>
        <v>828</v>
      </c>
      <c r="L11" s="9">
        <f>'Calcul du CA prévisionnel'!D34*1.2</f>
        <v>828</v>
      </c>
      <c r="M11" s="12">
        <f>'Calcul du CA prévisionnel'!D35*1.2</f>
        <v>828</v>
      </c>
      <c r="O11" s="52">
        <f t="shared" si="2"/>
        <v>6499.8</v>
      </c>
    </row>
    <row r="12" spans="1:15" x14ac:dyDescent="0.2">
      <c r="A12" s="11" t="s">
        <v>82</v>
      </c>
      <c r="B12" s="9"/>
      <c r="C12" s="9"/>
      <c r="D12" s="9"/>
      <c r="E12" s="9"/>
      <c r="F12" s="9"/>
      <c r="G12" s="9"/>
      <c r="H12" s="9"/>
      <c r="I12" s="9"/>
      <c r="J12" s="9"/>
      <c r="K12" s="9"/>
      <c r="L12" s="9"/>
      <c r="M12" s="12"/>
      <c r="O12" s="52">
        <f t="shared" si="2"/>
        <v>0</v>
      </c>
    </row>
    <row r="13" spans="1:15" x14ac:dyDescent="0.2">
      <c r="A13" s="22" t="s">
        <v>8</v>
      </c>
      <c r="B13" s="28">
        <f t="shared" ref="B13:M13" si="3">SUM(B14:B17)</f>
        <v>45000</v>
      </c>
      <c r="C13" s="28">
        <f t="shared" si="3"/>
        <v>0</v>
      </c>
      <c r="D13" s="28">
        <f t="shared" si="3"/>
        <v>0</v>
      </c>
      <c r="E13" s="28">
        <f t="shared" si="3"/>
        <v>0</v>
      </c>
      <c r="F13" s="28">
        <f t="shared" si="3"/>
        <v>0</v>
      </c>
      <c r="G13" s="28">
        <f t="shared" si="3"/>
        <v>0</v>
      </c>
      <c r="H13" s="28">
        <f t="shared" si="3"/>
        <v>0</v>
      </c>
      <c r="I13" s="28">
        <f t="shared" si="3"/>
        <v>0</v>
      </c>
      <c r="J13" s="28">
        <f t="shared" si="3"/>
        <v>0</v>
      </c>
      <c r="K13" s="28">
        <f t="shared" si="3"/>
        <v>0</v>
      </c>
      <c r="L13" s="28">
        <f t="shared" si="3"/>
        <v>0</v>
      </c>
      <c r="M13" s="29">
        <f t="shared" si="3"/>
        <v>0</v>
      </c>
      <c r="O13" s="51">
        <f t="shared" si="2"/>
        <v>45000</v>
      </c>
    </row>
    <row r="14" spans="1:15" x14ac:dyDescent="0.2">
      <c r="A14" s="11" t="s">
        <v>61</v>
      </c>
      <c r="B14" s="9">
        <v>1500</v>
      </c>
      <c r="C14" s="9"/>
      <c r="D14" s="9"/>
      <c r="E14" s="9"/>
      <c r="F14" s="9"/>
      <c r="G14" s="9"/>
      <c r="H14" s="9"/>
      <c r="I14" s="9"/>
      <c r="J14" s="9"/>
      <c r="K14" s="9"/>
      <c r="L14" s="9"/>
      <c r="M14" s="12"/>
      <c r="O14" s="52">
        <f t="shared" si="2"/>
        <v>1500</v>
      </c>
    </row>
    <row r="15" spans="1:15" x14ac:dyDescent="0.2">
      <c r="A15" s="11" t="s">
        <v>62</v>
      </c>
      <c r="B15" s="9">
        <v>8500</v>
      </c>
      <c r="C15" s="9"/>
      <c r="D15" s="9"/>
      <c r="E15" s="9"/>
      <c r="F15" s="9"/>
      <c r="G15" s="9"/>
      <c r="H15" s="9"/>
      <c r="I15" s="9"/>
      <c r="J15" s="9"/>
      <c r="K15" s="9"/>
      <c r="L15" s="9"/>
      <c r="M15" s="12"/>
      <c r="O15" s="52">
        <f t="shared" si="2"/>
        <v>8500</v>
      </c>
    </row>
    <row r="16" spans="1:15" x14ac:dyDescent="0.2">
      <c r="A16" s="11" t="s">
        <v>168</v>
      </c>
      <c r="B16" s="9">
        <v>4000</v>
      </c>
      <c r="C16" s="9"/>
      <c r="D16" s="9"/>
      <c r="E16" s="9"/>
      <c r="F16" s="9"/>
      <c r="G16" s="9"/>
      <c r="H16" s="9"/>
      <c r="I16" s="9"/>
      <c r="J16" s="9"/>
      <c r="K16" s="9"/>
      <c r="L16" s="9"/>
      <c r="M16" s="12"/>
      <c r="O16" s="52">
        <f t="shared" si="2"/>
        <v>4000</v>
      </c>
    </row>
    <row r="17" spans="1:15" x14ac:dyDescent="0.2">
      <c r="A17" s="11" t="s">
        <v>169</v>
      </c>
      <c r="B17" s="9">
        <v>31000</v>
      </c>
      <c r="C17" s="9"/>
      <c r="D17" s="9"/>
      <c r="E17" s="9"/>
      <c r="F17" s="9"/>
      <c r="G17" s="9"/>
      <c r="H17" s="9"/>
      <c r="I17" s="9"/>
      <c r="J17" s="9"/>
      <c r="K17" s="9"/>
      <c r="L17" s="9"/>
      <c r="M17" s="12"/>
      <c r="O17" s="52">
        <f t="shared" si="2"/>
        <v>31000</v>
      </c>
    </row>
    <row r="18" spans="1:15" ht="13.5" thickBot="1" x14ac:dyDescent="0.25">
      <c r="A18" s="24" t="s">
        <v>78</v>
      </c>
      <c r="B18" s="25">
        <f>B7+B13</f>
        <v>45000</v>
      </c>
      <c r="C18" s="25">
        <f t="shared" ref="C18:M18" si="4">C7+C13</f>
        <v>0</v>
      </c>
      <c r="D18" s="25">
        <f t="shared" si="4"/>
        <v>1927.6875</v>
      </c>
      <c r="E18" s="25">
        <f t="shared" si="4"/>
        <v>3212.8125</v>
      </c>
      <c r="F18" s="25">
        <f t="shared" si="4"/>
        <v>5140.5</v>
      </c>
      <c r="G18" s="25">
        <f t="shared" si="4"/>
        <v>5140.5</v>
      </c>
      <c r="H18" s="25">
        <f t="shared" si="4"/>
        <v>3855.375</v>
      </c>
      <c r="I18" s="25">
        <f t="shared" si="4"/>
        <v>5461.7812500000009</v>
      </c>
      <c r="J18" s="25">
        <f t="shared" si="4"/>
        <v>6425.625</v>
      </c>
      <c r="K18" s="25">
        <f t="shared" si="4"/>
        <v>6425.625</v>
      </c>
      <c r="L18" s="25">
        <f t="shared" si="4"/>
        <v>6425.625</v>
      </c>
      <c r="M18" s="26">
        <f t="shared" si="4"/>
        <v>6425.625</v>
      </c>
      <c r="O18" s="53">
        <f t="shared" si="2"/>
        <v>95441.15625</v>
      </c>
    </row>
    <row r="19" spans="1:15" ht="6.95" customHeight="1" thickBot="1" x14ac:dyDescent="0.25">
      <c r="A19" s="10"/>
      <c r="B19" s="138"/>
      <c r="C19" s="138"/>
      <c r="D19" s="138"/>
      <c r="E19" s="138"/>
      <c r="F19" s="138"/>
      <c r="G19" s="138"/>
      <c r="H19" s="138"/>
      <c r="I19" s="138"/>
      <c r="J19" s="138"/>
      <c r="K19" s="138"/>
      <c r="L19" s="138"/>
      <c r="M19" s="138"/>
      <c r="O19" s="48"/>
    </row>
    <row r="20" spans="1:15" ht="15" x14ac:dyDescent="0.25">
      <c r="A20" s="129" t="s">
        <v>184</v>
      </c>
      <c r="B20" s="130"/>
      <c r="C20" s="130"/>
      <c r="D20" s="130"/>
      <c r="E20" s="130"/>
      <c r="F20" s="130"/>
      <c r="G20" s="130"/>
      <c r="H20" s="130"/>
      <c r="I20" s="130"/>
      <c r="J20" s="130"/>
      <c r="K20" s="130"/>
      <c r="L20" s="130"/>
      <c r="M20" s="131"/>
      <c r="O20" s="54">
        <f t="shared" si="2"/>
        <v>0</v>
      </c>
    </row>
    <row r="21" spans="1:15" x14ac:dyDescent="0.2">
      <c r="A21" s="22" t="s">
        <v>7</v>
      </c>
      <c r="B21" s="23">
        <f t="shared" ref="B21:M21" si="5">+SUM(B22:B49)</f>
        <v>2359.1999999999998</v>
      </c>
      <c r="C21" s="23">
        <f t="shared" si="5"/>
        <v>3773.2</v>
      </c>
      <c r="D21" s="23">
        <f t="shared" si="5"/>
        <v>4198.0562499999996</v>
      </c>
      <c r="E21" s="23">
        <f t="shared" si="5"/>
        <v>4837.2937499999998</v>
      </c>
      <c r="F21" s="23">
        <f t="shared" si="5"/>
        <v>4156.1499999999996</v>
      </c>
      <c r="G21" s="23">
        <f t="shared" si="5"/>
        <v>4696.1499999999996</v>
      </c>
      <c r="H21" s="23">
        <f t="shared" si="5"/>
        <v>4936.9125000000004</v>
      </c>
      <c r="I21" s="23">
        <f t="shared" si="5"/>
        <v>4205.9593750000004</v>
      </c>
      <c r="J21" s="23">
        <f t="shared" si="5"/>
        <v>4895.3875000000007</v>
      </c>
      <c r="K21" s="23">
        <f t="shared" si="5"/>
        <v>6335.3875000000007</v>
      </c>
      <c r="L21" s="23">
        <f t="shared" si="5"/>
        <v>5355.3875000000007</v>
      </c>
      <c r="M21" s="23">
        <f t="shared" si="5"/>
        <v>5895.3875000000007</v>
      </c>
      <c r="O21" s="51">
        <f t="shared" si="2"/>
        <v>55644.471874999988</v>
      </c>
    </row>
    <row r="22" spans="1:15" x14ac:dyDescent="0.2">
      <c r="A22" s="11" t="s">
        <v>20</v>
      </c>
      <c r="B22" s="9"/>
      <c r="C22" s="9">
        <v>1114</v>
      </c>
      <c r="D22" s="9">
        <f>D8*0.3</f>
        <v>298.85625000000005</v>
      </c>
      <c r="E22" s="9">
        <f t="shared" ref="E22:M22" si="6">E8*0.3</f>
        <v>498.09375000000006</v>
      </c>
      <c r="F22" s="9">
        <f t="shared" si="6"/>
        <v>796.95000000000016</v>
      </c>
      <c r="G22" s="9">
        <f t="shared" si="6"/>
        <v>796.95000000000016</v>
      </c>
      <c r="H22" s="9">
        <f t="shared" si="6"/>
        <v>597.71250000000009</v>
      </c>
      <c r="I22" s="9">
        <f t="shared" si="6"/>
        <v>846.75937500000009</v>
      </c>
      <c r="J22" s="9">
        <f t="shared" si="6"/>
        <v>996.18750000000011</v>
      </c>
      <c r="K22" s="9">
        <f t="shared" si="6"/>
        <v>996.18750000000011</v>
      </c>
      <c r="L22" s="9">
        <f t="shared" si="6"/>
        <v>996.18750000000011</v>
      </c>
      <c r="M22" s="12">
        <f t="shared" si="6"/>
        <v>996.18750000000011</v>
      </c>
      <c r="O22" s="52">
        <f t="shared" si="2"/>
        <v>8934.0718749999996</v>
      </c>
    </row>
    <row r="23" spans="1:15" x14ac:dyDescent="0.2">
      <c r="A23" s="11" t="s">
        <v>21</v>
      </c>
      <c r="B23" s="9"/>
      <c r="C23" s="9"/>
      <c r="D23" s="9"/>
      <c r="E23" s="9"/>
      <c r="F23" s="9"/>
      <c r="G23" s="9"/>
      <c r="H23" s="9"/>
      <c r="I23" s="9"/>
      <c r="J23" s="9"/>
      <c r="K23" s="9"/>
      <c r="L23" s="9"/>
      <c r="M23" s="12"/>
      <c r="O23" s="52">
        <f t="shared" si="2"/>
        <v>0</v>
      </c>
    </row>
    <row r="24" spans="1:15" x14ac:dyDescent="0.2">
      <c r="A24" s="11"/>
      <c r="B24" s="9"/>
      <c r="C24" s="9"/>
      <c r="D24" s="9"/>
      <c r="E24" s="9"/>
      <c r="F24" s="9"/>
      <c r="G24" s="9"/>
      <c r="H24" s="9"/>
      <c r="I24" s="9"/>
      <c r="J24" s="9"/>
      <c r="K24" s="9"/>
      <c r="L24" s="9"/>
      <c r="M24" s="12"/>
      <c r="O24" s="52">
        <f t="shared" si="2"/>
        <v>0</v>
      </c>
    </row>
    <row r="25" spans="1:15" x14ac:dyDescent="0.2">
      <c r="A25" s="11" t="s">
        <v>22</v>
      </c>
      <c r="B25" s="9"/>
      <c r="C25" s="9"/>
      <c r="D25" s="9"/>
      <c r="E25" s="9"/>
      <c r="F25" s="9"/>
      <c r="G25" s="9"/>
      <c r="H25" s="9"/>
      <c r="I25" s="9"/>
      <c r="J25" s="9"/>
      <c r="K25" s="9"/>
      <c r="L25" s="9"/>
      <c r="M25" s="12"/>
      <c r="O25" s="52">
        <f t="shared" si="2"/>
        <v>0</v>
      </c>
    </row>
    <row r="26" spans="1:15" x14ac:dyDescent="0.2">
      <c r="A26" s="11" t="s">
        <v>6</v>
      </c>
      <c r="B26" s="9">
        <f>(840+126)*1.2</f>
        <v>1159.2</v>
      </c>
      <c r="C26" s="9">
        <f t="shared" ref="C26:M26" si="7">(840+126)*1.2</f>
        <v>1159.2</v>
      </c>
      <c r="D26" s="9">
        <f t="shared" si="7"/>
        <v>1159.2</v>
      </c>
      <c r="E26" s="9">
        <f t="shared" si="7"/>
        <v>1159.2</v>
      </c>
      <c r="F26" s="9">
        <f t="shared" si="7"/>
        <v>1159.2</v>
      </c>
      <c r="G26" s="9">
        <f t="shared" si="7"/>
        <v>1159.2</v>
      </c>
      <c r="H26" s="9">
        <f t="shared" si="7"/>
        <v>1159.2</v>
      </c>
      <c r="I26" s="9">
        <f t="shared" si="7"/>
        <v>1159.2</v>
      </c>
      <c r="J26" s="9">
        <f t="shared" si="7"/>
        <v>1159.2</v>
      </c>
      <c r="K26" s="9">
        <f t="shared" si="7"/>
        <v>1159.2</v>
      </c>
      <c r="L26" s="9">
        <f t="shared" si="7"/>
        <v>1159.2</v>
      </c>
      <c r="M26" s="12">
        <f t="shared" si="7"/>
        <v>1159.2</v>
      </c>
      <c r="O26" s="52">
        <f t="shared" si="2"/>
        <v>13910.400000000003</v>
      </c>
    </row>
    <row r="27" spans="1:15" x14ac:dyDescent="0.2">
      <c r="A27" s="11" t="s">
        <v>1</v>
      </c>
      <c r="B27" s="9">
        <f>(1200/12)*1.2</f>
        <v>120</v>
      </c>
      <c r="C27" s="9">
        <f t="shared" ref="C27:M27" si="8">(1200/12)*1.2</f>
        <v>120</v>
      </c>
      <c r="D27" s="9">
        <f t="shared" si="8"/>
        <v>120</v>
      </c>
      <c r="E27" s="9">
        <f t="shared" si="8"/>
        <v>120</v>
      </c>
      <c r="F27" s="9">
        <f t="shared" si="8"/>
        <v>120</v>
      </c>
      <c r="G27" s="9">
        <f t="shared" si="8"/>
        <v>120</v>
      </c>
      <c r="H27" s="9">
        <f t="shared" si="8"/>
        <v>120</v>
      </c>
      <c r="I27" s="9">
        <f t="shared" si="8"/>
        <v>120</v>
      </c>
      <c r="J27" s="9">
        <f t="shared" si="8"/>
        <v>120</v>
      </c>
      <c r="K27" s="9">
        <f t="shared" si="8"/>
        <v>120</v>
      </c>
      <c r="L27" s="9">
        <f t="shared" si="8"/>
        <v>120</v>
      </c>
      <c r="M27" s="12">
        <f t="shared" si="8"/>
        <v>120</v>
      </c>
      <c r="O27" s="52">
        <f t="shared" si="2"/>
        <v>1440</v>
      </c>
    </row>
    <row r="28" spans="1:15" x14ac:dyDescent="0.2">
      <c r="A28" s="11" t="s">
        <v>26</v>
      </c>
      <c r="B28" s="9">
        <f>(600/12)*1.2</f>
        <v>60</v>
      </c>
      <c r="C28" s="9">
        <f t="shared" ref="C28:M28" si="9">(600/12)*1.2</f>
        <v>60</v>
      </c>
      <c r="D28" s="9">
        <f t="shared" si="9"/>
        <v>60</v>
      </c>
      <c r="E28" s="9">
        <f t="shared" si="9"/>
        <v>60</v>
      </c>
      <c r="F28" s="9">
        <f t="shared" si="9"/>
        <v>60</v>
      </c>
      <c r="G28" s="9">
        <f t="shared" si="9"/>
        <v>60</v>
      </c>
      <c r="H28" s="9">
        <f t="shared" si="9"/>
        <v>60</v>
      </c>
      <c r="I28" s="9">
        <f t="shared" si="9"/>
        <v>60</v>
      </c>
      <c r="J28" s="9">
        <f t="shared" si="9"/>
        <v>60</v>
      </c>
      <c r="K28" s="9">
        <f t="shared" si="9"/>
        <v>60</v>
      </c>
      <c r="L28" s="9">
        <f t="shared" si="9"/>
        <v>60</v>
      </c>
      <c r="M28" s="12">
        <f t="shared" si="9"/>
        <v>60</v>
      </c>
      <c r="O28" s="52">
        <f t="shared" si="2"/>
        <v>720</v>
      </c>
    </row>
    <row r="29" spans="1:15" x14ac:dyDescent="0.2">
      <c r="A29" s="11" t="s">
        <v>5</v>
      </c>
      <c r="B29" s="9">
        <v>120</v>
      </c>
      <c r="C29" s="9">
        <v>120</v>
      </c>
      <c r="D29" s="9">
        <v>120</v>
      </c>
      <c r="E29" s="9">
        <v>120</v>
      </c>
      <c r="F29" s="9">
        <v>120</v>
      </c>
      <c r="G29" s="9">
        <v>120</v>
      </c>
      <c r="H29" s="9">
        <v>120</v>
      </c>
      <c r="I29" s="9">
        <v>120</v>
      </c>
      <c r="J29" s="9">
        <v>120</v>
      </c>
      <c r="K29" s="9">
        <v>120</v>
      </c>
      <c r="L29" s="9">
        <v>120</v>
      </c>
      <c r="M29" s="12">
        <v>120</v>
      </c>
      <c r="O29" s="52">
        <f t="shared" si="2"/>
        <v>1440</v>
      </c>
    </row>
    <row r="30" spans="1:15" x14ac:dyDescent="0.2">
      <c r="A30" s="11" t="s">
        <v>2</v>
      </c>
      <c r="B30" s="9"/>
      <c r="C30" s="9"/>
      <c r="D30" s="9"/>
      <c r="E30" s="9"/>
      <c r="F30" s="9"/>
      <c r="G30" s="9"/>
      <c r="H30" s="9"/>
      <c r="I30" s="9"/>
      <c r="J30" s="9"/>
      <c r="K30" s="9"/>
      <c r="L30" s="9"/>
      <c r="M30" s="12"/>
      <c r="O30" s="52">
        <f t="shared" si="2"/>
        <v>0</v>
      </c>
    </row>
    <row r="31" spans="1:15" x14ac:dyDescent="0.2">
      <c r="A31" s="11" t="s">
        <v>4</v>
      </c>
      <c r="B31" s="9"/>
      <c r="C31" s="9"/>
      <c r="D31" s="9"/>
      <c r="E31" s="9"/>
      <c r="F31" s="9"/>
      <c r="G31" s="9"/>
      <c r="H31" s="9"/>
      <c r="I31" s="9"/>
      <c r="J31" s="9"/>
      <c r="K31" s="9"/>
      <c r="L31" s="9"/>
      <c r="M31" s="12"/>
      <c r="O31" s="52">
        <f t="shared" si="2"/>
        <v>0</v>
      </c>
    </row>
    <row r="32" spans="1:15" x14ac:dyDescent="0.2">
      <c r="A32" s="11" t="s">
        <v>3</v>
      </c>
      <c r="B32" s="9"/>
      <c r="C32" s="9"/>
      <c r="D32" s="9"/>
      <c r="E32" s="9"/>
      <c r="F32" s="9"/>
      <c r="G32" s="9"/>
      <c r="H32" s="9"/>
      <c r="I32" s="9"/>
      <c r="J32" s="9"/>
      <c r="K32" s="9"/>
      <c r="L32" s="9"/>
      <c r="M32" s="12"/>
      <c r="O32" s="52">
        <f t="shared" si="2"/>
        <v>0</v>
      </c>
    </row>
    <row r="33" spans="1:15" x14ac:dyDescent="0.2">
      <c r="A33" s="11" t="s">
        <v>25</v>
      </c>
      <c r="B33" s="9">
        <f>2400/4</f>
        <v>600</v>
      </c>
      <c r="C33" s="9"/>
      <c r="D33" s="9"/>
      <c r="E33" s="9">
        <f>2400/4</f>
        <v>600</v>
      </c>
      <c r="F33" s="9"/>
      <c r="G33" s="9"/>
      <c r="H33" s="9">
        <f>2400/4</f>
        <v>600</v>
      </c>
      <c r="I33" s="9"/>
      <c r="J33" s="9"/>
      <c r="K33" s="9">
        <f>2400/4</f>
        <v>600</v>
      </c>
      <c r="L33" s="9"/>
      <c r="M33" s="12"/>
      <c r="O33" s="52">
        <f t="shared" si="2"/>
        <v>2400</v>
      </c>
    </row>
    <row r="34" spans="1:15" x14ac:dyDescent="0.2">
      <c r="A34" s="11" t="s">
        <v>23</v>
      </c>
      <c r="B34" s="9">
        <v>300</v>
      </c>
      <c r="C34" s="9">
        <v>300</v>
      </c>
      <c r="D34" s="9">
        <v>300</v>
      </c>
      <c r="E34" s="9">
        <v>300</v>
      </c>
      <c r="F34" s="9">
        <v>300</v>
      </c>
      <c r="G34" s="9">
        <v>300</v>
      </c>
      <c r="H34" s="9">
        <v>300</v>
      </c>
      <c r="I34" s="9">
        <v>300</v>
      </c>
      <c r="J34" s="9">
        <v>300</v>
      </c>
      <c r="K34" s="9">
        <v>300</v>
      </c>
      <c r="L34" s="9">
        <v>300</v>
      </c>
      <c r="M34" s="12">
        <v>300</v>
      </c>
      <c r="O34" s="52">
        <f t="shared" si="2"/>
        <v>3600</v>
      </c>
    </row>
    <row r="35" spans="1:15" x14ac:dyDescent="0.2">
      <c r="A35" s="11" t="s">
        <v>24</v>
      </c>
      <c r="B35" s="9"/>
      <c r="C35" s="9"/>
      <c r="D35" s="9">
        <f>(1800/4)*1.2</f>
        <v>540</v>
      </c>
      <c r="E35" s="9"/>
      <c r="F35" s="9"/>
      <c r="G35" s="9">
        <f>(1800/4)*1.2</f>
        <v>540</v>
      </c>
      <c r="H35" s="9"/>
      <c r="I35" s="9"/>
      <c r="J35" s="9">
        <f>(1800/4)*1.2</f>
        <v>540</v>
      </c>
      <c r="K35" s="9"/>
      <c r="L35" s="9"/>
      <c r="M35" s="12">
        <f>(1800/4)*1.2</f>
        <v>540</v>
      </c>
      <c r="O35" s="52">
        <f t="shared" si="2"/>
        <v>2160</v>
      </c>
    </row>
    <row r="36" spans="1:15" x14ac:dyDescent="0.2">
      <c r="A36" s="11" t="s">
        <v>27</v>
      </c>
      <c r="B36" s="9"/>
      <c r="C36" s="9"/>
      <c r="D36" s="9"/>
      <c r="E36" s="9"/>
      <c r="F36" s="9"/>
      <c r="G36" s="9"/>
      <c r="H36" s="9"/>
      <c r="I36" s="9"/>
      <c r="J36" s="9"/>
      <c r="K36" s="9"/>
      <c r="L36" s="9"/>
      <c r="M36" s="12"/>
      <c r="O36" s="52">
        <f t="shared" si="2"/>
        <v>0</v>
      </c>
    </row>
    <row r="37" spans="1:15" x14ac:dyDescent="0.2">
      <c r="A37" s="11" t="s">
        <v>27</v>
      </c>
      <c r="B37" s="9"/>
      <c r="C37" s="9"/>
      <c r="D37" s="9"/>
      <c r="E37" s="9"/>
      <c r="F37" s="9"/>
      <c r="G37" s="9"/>
      <c r="H37" s="9"/>
      <c r="I37" s="9"/>
      <c r="J37" s="9"/>
      <c r="K37" s="9"/>
      <c r="L37" s="9"/>
      <c r="M37" s="12"/>
      <c r="O37" s="52">
        <f t="shared" si="2"/>
        <v>0</v>
      </c>
    </row>
    <row r="38" spans="1:15" x14ac:dyDescent="0.2">
      <c r="A38" s="11" t="s">
        <v>27</v>
      </c>
      <c r="B38" s="9"/>
      <c r="C38" s="9"/>
      <c r="D38" s="9"/>
      <c r="E38" s="9"/>
      <c r="F38" s="9"/>
      <c r="G38" s="9"/>
      <c r="H38" s="9"/>
      <c r="I38" s="9"/>
      <c r="J38" s="9"/>
      <c r="K38" s="9"/>
      <c r="L38" s="9"/>
      <c r="M38" s="12"/>
      <c r="O38" s="52">
        <f t="shared" si="2"/>
        <v>0</v>
      </c>
    </row>
    <row r="39" spans="1:15" x14ac:dyDescent="0.2">
      <c r="A39" s="11" t="s">
        <v>27</v>
      </c>
      <c r="B39" s="9"/>
      <c r="C39" s="9"/>
      <c r="D39" s="9"/>
      <c r="E39" s="9"/>
      <c r="F39" s="9"/>
      <c r="G39" s="9"/>
      <c r="H39" s="9"/>
      <c r="I39" s="9"/>
      <c r="J39" s="9"/>
      <c r="K39" s="9"/>
      <c r="L39" s="9"/>
      <c r="M39" s="12"/>
      <c r="O39" s="52">
        <f t="shared" si="2"/>
        <v>0</v>
      </c>
    </row>
    <row r="40" spans="1:15" x14ac:dyDescent="0.2">
      <c r="A40" s="20" t="s">
        <v>70</v>
      </c>
      <c r="B40" s="9"/>
      <c r="C40" s="9"/>
      <c r="D40" s="9"/>
      <c r="E40" s="9"/>
      <c r="F40" s="9"/>
      <c r="G40" s="9"/>
      <c r="H40" s="9"/>
      <c r="I40" s="9"/>
      <c r="J40" s="9"/>
      <c r="K40" s="9"/>
      <c r="L40" s="9"/>
      <c r="M40" s="12"/>
      <c r="O40" s="52">
        <f t="shared" si="2"/>
        <v>0</v>
      </c>
    </row>
    <row r="41" spans="1:15" x14ac:dyDescent="0.2">
      <c r="A41" s="11" t="s">
        <v>71</v>
      </c>
      <c r="B41" s="9"/>
      <c r="C41" s="9"/>
      <c r="D41" s="9"/>
      <c r="E41" s="9"/>
      <c r="F41" s="9"/>
      <c r="G41" s="9"/>
      <c r="H41" s="9"/>
      <c r="I41" s="9"/>
      <c r="J41" s="9"/>
      <c r="K41" s="9"/>
      <c r="L41" s="9"/>
      <c r="M41" s="12"/>
      <c r="O41" s="52">
        <f t="shared" si="2"/>
        <v>0</v>
      </c>
    </row>
    <row r="42" spans="1:15" x14ac:dyDescent="0.2">
      <c r="A42" s="11" t="s">
        <v>72</v>
      </c>
      <c r="B42" s="9"/>
      <c r="C42" s="9"/>
      <c r="D42" s="9"/>
      <c r="E42" s="9"/>
      <c r="F42" s="9"/>
      <c r="G42" s="9"/>
      <c r="H42" s="9"/>
      <c r="I42" s="9"/>
      <c r="J42" s="9"/>
      <c r="K42" s="9"/>
      <c r="L42" s="9"/>
      <c r="M42" s="12"/>
      <c r="O42" s="52">
        <f t="shared" si="2"/>
        <v>0</v>
      </c>
    </row>
    <row r="43" spans="1:15" x14ac:dyDescent="0.2">
      <c r="A43" s="11" t="s">
        <v>29</v>
      </c>
      <c r="B43" s="9"/>
      <c r="C43" s="9">
        <v>900</v>
      </c>
      <c r="D43" s="9">
        <f t="shared" ref="D43:M43" si="10">10800/12</f>
        <v>900</v>
      </c>
      <c r="E43" s="9">
        <f t="shared" si="10"/>
        <v>900</v>
      </c>
      <c r="F43" s="9">
        <f t="shared" si="10"/>
        <v>900</v>
      </c>
      <c r="G43" s="9">
        <f t="shared" si="10"/>
        <v>900</v>
      </c>
      <c r="H43" s="9">
        <f t="shared" si="10"/>
        <v>900</v>
      </c>
      <c r="I43" s="9">
        <f t="shared" si="10"/>
        <v>900</v>
      </c>
      <c r="J43" s="9">
        <f t="shared" si="10"/>
        <v>900</v>
      </c>
      <c r="K43" s="9">
        <f t="shared" si="10"/>
        <v>900</v>
      </c>
      <c r="L43" s="9">
        <f t="shared" si="10"/>
        <v>900</v>
      </c>
      <c r="M43" s="12">
        <f t="shared" si="10"/>
        <v>900</v>
      </c>
      <c r="O43" s="52">
        <f t="shared" si="2"/>
        <v>9900</v>
      </c>
    </row>
    <row r="44" spans="1:15" x14ac:dyDescent="0.2">
      <c r="A44" s="11" t="s">
        <v>30</v>
      </c>
      <c r="B44" s="9"/>
      <c r="C44" s="9"/>
      <c r="D44" s="9">
        <v>700</v>
      </c>
      <c r="E44" s="9">
        <f t="shared" ref="E44:M44" si="11">8400/12</f>
        <v>700</v>
      </c>
      <c r="F44" s="9">
        <f t="shared" si="11"/>
        <v>700</v>
      </c>
      <c r="G44" s="9">
        <f t="shared" si="11"/>
        <v>700</v>
      </c>
      <c r="H44" s="9">
        <f t="shared" si="11"/>
        <v>700</v>
      </c>
      <c r="I44" s="9">
        <f t="shared" si="11"/>
        <v>700</v>
      </c>
      <c r="J44" s="9">
        <f t="shared" si="11"/>
        <v>700</v>
      </c>
      <c r="K44" s="9">
        <f t="shared" si="11"/>
        <v>700</v>
      </c>
      <c r="L44" s="9">
        <f t="shared" si="11"/>
        <v>700</v>
      </c>
      <c r="M44" s="12">
        <f t="shared" si="11"/>
        <v>700</v>
      </c>
      <c r="O44" s="52">
        <f t="shared" si="2"/>
        <v>7000</v>
      </c>
    </row>
    <row r="45" spans="1:15" x14ac:dyDescent="0.2">
      <c r="A45" s="11" t="s">
        <v>40</v>
      </c>
      <c r="B45" s="9"/>
      <c r="C45" s="9"/>
      <c r="D45" s="9"/>
      <c r="E45" s="9"/>
      <c r="F45" s="9"/>
      <c r="G45" s="9"/>
      <c r="H45" s="9"/>
      <c r="I45" s="9"/>
      <c r="J45" s="9"/>
      <c r="K45" s="9">
        <v>1000</v>
      </c>
      <c r="L45" s="9">
        <v>1000</v>
      </c>
      <c r="M45" s="12">
        <v>1000</v>
      </c>
      <c r="O45" s="52">
        <f t="shared" si="2"/>
        <v>3000</v>
      </c>
    </row>
    <row r="46" spans="1:15" x14ac:dyDescent="0.2">
      <c r="A46" s="11" t="s">
        <v>41</v>
      </c>
      <c r="B46" s="9"/>
      <c r="C46" s="9"/>
      <c r="D46" s="9"/>
      <c r="E46" s="9">
        <v>380</v>
      </c>
      <c r="F46" s="9"/>
      <c r="G46" s="9"/>
      <c r="H46" s="9">
        <v>380</v>
      </c>
      <c r="I46" s="9"/>
      <c r="J46" s="9"/>
      <c r="K46" s="9">
        <v>380</v>
      </c>
      <c r="L46" s="9"/>
      <c r="M46" s="12"/>
      <c r="O46" s="52">
        <f t="shared" si="2"/>
        <v>1140</v>
      </c>
    </row>
    <row r="47" spans="1:15" x14ac:dyDescent="0.2">
      <c r="A47" s="21" t="s">
        <v>76</v>
      </c>
      <c r="B47" s="9"/>
      <c r="C47" s="9"/>
      <c r="D47" s="9"/>
      <c r="E47" s="9"/>
      <c r="F47" s="9"/>
      <c r="G47" s="9"/>
      <c r="H47" s="9"/>
      <c r="I47" s="9"/>
      <c r="J47" s="9"/>
      <c r="K47" s="9"/>
      <c r="L47" s="9"/>
      <c r="M47" s="12"/>
      <c r="O47" s="52">
        <f t="shared" si="2"/>
        <v>0</v>
      </c>
    </row>
    <row r="48" spans="1:15" x14ac:dyDescent="0.2">
      <c r="A48" s="21" t="s">
        <v>77</v>
      </c>
      <c r="B48" s="9"/>
      <c r="C48" s="9"/>
      <c r="D48" s="9"/>
      <c r="E48" s="9"/>
      <c r="F48" s="9"/>
      <c r="G48" s="9"/>
      <c r="H48" s="9"/>
      <c r="I48" s="9"/>
      <c r="J48" s="9"/>
      <c r="K48" s="9"/>
      <c r="L48" s="9"/>
      <c r="M48" s="12"/>
      <c r="O48" s="52">
        <f t="shared" si="2"/>
        <v>0</v>
      </c>
    </row>
    <row r="49" spans="1:15" x14ac:dyDescent="0.2">
      <c r="A49" s="21" t="s">
        <v>83</v>
      </c>
      <c r="B49" s="9"/>
      <c r="C49" s="9"/>
      <c r="D49" s="9"/>
      <c r="E49" s="9"/>
      <c r="F49" s="9"/>
      <c r="G49" s="9"/>
      <c r="H49" s="9"/>
      <c r="I49" s="9"/>
      <c r="J49" s="9"/>
      <c r="K49" s="9"/>
      <c r="L49" s="9"/>
      <c r="M49" s="12"/>
      <c r="O49" s="52">
        <f t="shared" si="2"/>
        <v>0</v>
      </c>
    </row>
    <row r="50" spans="1:15" s="30" customFormat="1" x14ac:dyDescent="0.2">
      <c r="A50" s="22" t="s">
        <v>8</v>
      </c>
      <c r="B50" s="23">
        <f>SUM(B51:B54)</f>
        <v>33638.399999999994</v>
      </c>
      <c r="C50" s="23">
        <f t="shared" ref="C50:M50" si="12">SUM(C51:C54)</f>
        <v>0</v>
      </c>
      <c r="D50" s="23">
        <f t="shared" si="12"/>
        <v>0</v>
      </c>
      <c r="E50" s="23">
        <f t="shared" si="12"/>
        <v>0</v>
      </c>
      <c r="F50" s="23">
        <f t="shared" si="12"/>
        <v>0</v>
      </c>
      <c r="G50" s="23">
        <f t="shared" si="12"/>
        <v>0</v>
      </c>
      <c r="H50" s="23">
        <f t="shared" si="12"/>
        <v>0</v>
      </c>
      <c r="I50" s="23">
        <f t="shared" si="12"/>
        <v>0</v>
      </c>
      <c r="J50" s="23">
        <f t="shared" si="12"/>
        <v>0</v>
      </c>
      <c r="K50" s="23">
        <f t="shared" si="12"/>
        <v>0</v>
      </c>
      <c r="L50" s="23">
        <f t="shared" si="12"/>
        <v>0</v>
      </c>
      <c r="M50" s="27">
        <f t="shared" si="12"/>
        <v>0</v>
      </c>
      <c r="O50" s="51">
        <f t="shared" si="2"/>
        <v>33638.399999999994</v>
      </c>
    </row>
    <row r="51" spans="1:15" x14ac:dyDescent="0.2">
      <c r="A51" s="11" t="s">
        <v>48</v>
      </c>
      <c r="B51" s="9">
        <f>'Plan de financement '!B4*1.2</f>
        <v>18014.399999999998</v>
      </c>
      <c r="C51" s="9"/>
      <c r="D51" s="9"/>
      <c r="E51" s="9"/>
      <c r="F51" s="9"/>
      <c r="G51" s="9"/>
      <c r="H51" s="9"/>
      <c r="I51" s="9"/>
      <c r="J51" s="9"/>
      <c r="K51" s="9"/>
      <c r="L51" s="9"/>
      <c r="M51" s="12"/>
      <c r="O51" s="52">
        <f t="shared" si="2"/>
        <v>18014.399999999998</v>
      </c>
    </row>
    <row r="52" spans="1:15" x14ac:dyDescent="0.2">
      <c r="A52" s="11" t="s">
        <v>55</v>
      </c>
      <c r="B52" s="9">
        <f>'Plan de financement '!B15*1.2</f>
        <v>12600</v>
      </c>
      <c r="C52" s="9"/>
      <c r="D52" s="9"/>
      <c r="E52" s="9"/>
      <c r="F52" s="9"/>
      <c r="G52" s="9"/>
      <c r="H52" s="9"/>
      <c r="I52" s="9"/>
      <c r="J52" s="9"/>
      <c r="K52" s="9"/>
      <c r="L52" s="9"/>
      <c r="M52" s="12"/>
      <c r="O52" s="52">
        <f t="shared" si="2"/>
        <v>12600</v>
      </c>
    </row>
    <row r="53" spans="1:15" x14ac:dyDescent="0.2">
      <c r="A53" s="11" t="s">
        <v>56</v>
      </c>
      <c r="B53" s="9">
        <f>'Plan de financement '!B22*1.2</f>
        <v>3024</v>
      </c>
      <c r="C53" s="9"/>
      <c r="D53" s="9"/>
      <c r="E53" s="9"/>
      <c r="F53" s="9"/>
      <c r="G53" s="9"/>
      <c r="H53" s="9"/>
      <c r="I53" s="9"/>
      <c r="J53" s="9"/>
      <c r="K53" s="9"/>
      <c r="L53" s="9"/>
      <c r="M53" s="12"/>
      <c r="O53" s="52"/>
    </row>
    <row r="54" spans="1:15" x14ac:dyDescent="0.2">
      <c r="A54" s="11" t="s">
        <v>92</v>
      </c>
      <c r="B54" s="9"/>
      <c r="C54" s="9"/>
      <c r="D54" s="9"/>
      <c r="E54" s="9"/>
      <c r="F54" s="9"/>
      <c r="G54" s="9"/>
      <c r="H54" s="9"/>
      <c r="I54" s="9"/>
      <c r="J54" s="9"/>
      <c r="K54" s="9"/>
      <c r="L54" s="9"/>
      <c r="M54" s="12"/>
      <c r="O54" s="52">
        <f t="shared" si="2"/>
        <v>0</v>
      </c>
    </row>
    <row r="55" spans="1:15" ht="13.5" customHeight="1" thickBot="1" x14ac:dyDescent="0.25">
      <c r="A55" s="24" t="s">
        <v>185</v>
      </c>
      <c r="B55" s="25">
        <f t="shared" ref="B55:M55" si="13">B21+B50</f>
        <v>35997.599999999991</v>
      </c>
      <c r="C55" s="25">
        <f t="shared" si="13"/>
        <v>3773.2</v>
      </c>
      <c r="D55" s="25">
        <f t="shared" si="13"/>
        <v>4198.0562499999996</v>
      </c>
      <c r="E55" s="25">
        <f t="shared" si="13"/>
        <v>4837.2937499999998</v>
      </c>
      <c r="F55" s="25">
        <f t="shared" si="13"/>
        <v>4156.1499999999996</v>
      </c>
      <c r="G55" s="25">
        <f t="shared" si="13"/>
        <v>4696.1499999999996</v>
      </c>
      <c r="H55" s="25">
        <f t="shared" si="13"/>
        <v>4936.9125000000004</v>
      </c>
      <c r="I55" s="25">
        <f t="shared" si="13"/>
        <v>4205.9593750000004</v>
      </c>
      <c r="J55" s="25">
        <f t="shared" si="13"/>
        <v>4895.3875000000007</v>
      </c>
      <c r="K55" s="25">
        <f t="shared" si="13"/>
        <v>6335.3875000000007</v>
      </c>
      <c r="L55" s="25">
        <f t="shared" si="13"/>
        <v>5355.3875000000007</v>
      </c>
      <c r="M55" s="26">
        <f t="shared" si="13"/>
        <v>5895.3875000000007</v>
      </c>
      <c r="O55" s="53">
        <f t="shared" si="2"/>
        <v>89282.871874999983</v>
      </c>
    </row>
    <row r="56" spans="1:15" s="19" customFormat="1" ht="6.95" customHeight="1" thickBot="1" x14ac:dyDescent="0.25">
      <c r="A56" s="10"/>
      <c r="B56" s="18"/>
      <c r="C56" s="18"/>
      <c r="D56" s="18"/>
      <c r="E56" s="18"/>
      <c r="F56" s="18"/>
      <c r="G56" s="18"/>
      <c r="H56" s="18"/>
      <c r="I56" s="18"/>
      <c r="J56" s="18"/>
      <c r="K56" s="18"/>
      <c r="L56" s="18"/>
      <c r="M56" s="18"/>
      <c r="O56" s="47"/>
    </row>
    <row r="57" spans="1:15" s="19" customFormat="1" ht="15" x14ac:dyDescent="0.25">
      <c r="A57" s="129" t="s">
        <v>79</v>
      </c>
      <c r="B57" s="130"/>
      <c r="C57" s="130"/>
      <c r="D57" s="130"/>
      <c r="E57" s="130"/>
      <c r="F57" s="130"/>
      <c r="G57" s="130"/>
      <c r="H57" s="130"/>
      <c r="I57" s="130"/>
      <c r="J57" s="130"/>
      <c r="K57" s="130"/>
      <c r="L57" s="130"/>
      <c r="M57" s="131"/>
      <c r="O57" s="47"/>
    </row>
    <row r="58" spans="1:15" s="30" customFormat="1" x14ac:dyDescent="0.2">
      <c r="A58" s="31" t="s">
        <v>84</v>
      </c>
      <c r="B58" s="28">
        <f t="shared" ref="B58:M58" si="14">B18-B55</f>
        <v>9002.4000000000087</v>
      </c>
      <c r="C58" s="28">
        <f t="shared" si="14"/>
        <v>-3773.2</v>
      </c>
      <c r="D58" s="28">
        <f t="shared" si="14"/>
        <v>-2270.3687499999996</v>
      </c>
      <c r="E58" s="28">
        <f t="shared" si="14"/>
        <v>-1624.4812499999998</v>
      </c>
      <c r="F58" s="28">
        <f t="shared" si="14"/>
        <v>984.35000000000036</v>
      </c>
      <c r="G58" s="28">
        <f t="shared" si="14"/>
        <v>444.35000000000036</v>
      </c>
      <c r="H58" s="28">
        <f t="shared" si="14"/>
        <v>-1081.5375000000004</v>
      </c>
      <c r="I58" s="28">
        <f t="shared" si="14"/>
        <v>1255.8218750000005</v>
      </c>
      <c r="J58" s="28">
        <f t="shared" si="14"/>
        <v>1530.2374999999993</v>
      </c>
      <c r="K58" s="28">
        <f t="shared" si="14"/>
        <v>90.237499999999272</v>
      </c>
      <c r="L58" s="28">
        <f t="shared" si="14"/>
        <v>1070.2374999999993</v>
      </c>
      <c r="M58" s="29">
        <f t="shared" si="14"/>
        <v>530.23749999999927</v>
      </c>
      <c r="O58" s="55"/>
    </row>
    <row r="59" spans="1:15" ht="13.5" thickBot="1" x14ac:dyDescent="0.25">
      <c r="A59" s="24" t="s">
        <v>186</v>
      </c>
      <c r="B59" s="25">
        <f t="shared" ref="B59:M59" si="15">B4+B58</f>
        <v>9002.4000000000087</v>
      </c>
      <c r="C59" s="25">
        <f t="shared" si="15"/>
        <v>5229.2000000000089</v>
      </c>
      <c r="D59" s="25">
        <f t="shared" si="15"/>
        <v>2958.8312500000093</v>
      </c>
      <c r="E59" s="25">
        <f t="shared" si="15"/>
        <v>1334.3500000000095</v>
      </c>
      <c r="F59" s="25">
        <f t="shared" si="15"/>
        <v>2318.7000000000098</v>
      </c>
      <c r="G59" s="25">
        <f t="shared" si="15"/>
        <v>2763.0500000000102</v>
      </c>
      <c r="H59" s="25">
        <f t="shared" si="15"/>
        <v>1681.5125000000098</v>
      </c>
      <c r="I59" s="25">
        <f t="shared" si="15"/>
        <v>2937.3343750000104</v>
      </c>
      <c r="J59" s="25">
        <f t="shared" si="15"/>
        <v>4467.5718750000096</v>
      </c>
      <c r="K59" s="25">
        <f t="shared" si="15"/>
        <v>4557.8093750000089</v>
      </c>
      <c r="L59" s="25">
        <f t="shared" si="15"/>
        <v>5628.0468750000082</v>
      </c>
      <c r="M59" s="26">
        <f t="shared" si="15"/>
        <v>6158.2843750000075</v>
      </c>
    </row>
    <row r="60" spans="1:15" ht="13.5" thickBot="1" x14ac:dyDescent="0.25"/>
    <row r="61" spans="1:15" s="47" customFormat="1" ht="15" x14ac:dyDescent="0.25">
      <c r="A61" s="58" t="s">
        <v>86</v>
      </c>
      <c r="B61" s="59"/>
      <c r="C61" s="59"/>
      <c r="D61" s="59"/>
      <c r="E61" s="59"/>
      <c r="F61" s="59"/>
      <c r="G61" s="59"/>
      <c r="H61" s="59"/>
      <c r="I61" s="59"/>
      <c r="J61" s="59"/>
      <c r="K61" s="59"/>
      <c r="L61" s="59"/>
      <c r="M61" s="60"/>
      <c r="O61" s="56"/>
    </row>
    <row r="62" spans="1:15" s="47" customFormat="1" x14ac:dyDescent="0.2">
      <c r="A62" s="41" t="s">
        <v>89</v>
      </c>
      <c r="B62" s="42">
        <f t="shared" ref="B62:M62" si="16">B7-(B7/1.2)</f>
        <v>0</v>
      </c>
      <c r="C62" s="42">
        <f t="shared" si="16"/>
        <v>0</v>
      </c>
      <c r="D62" s="42">
        <f t="shared" si="16"/>
        <v>321.28125</v>
      </c>
      <c r="E62" s="42">
        <f t="shared" si="16"/>
        <v>535.46875</v>
      </c>
      <c r="F62" s="42">
        <f t="shared" si="16"/>
        <v>856.75</v>
      </c>
      <c r="G62" s="42">
        <f t="shared" si="16"/>
        <v>856.75</v>
      </c>
      <c r="H62" s="42">
        <f t="shared" si="16"/>
        <v>642.5625</v>
      </c>
      <c r="I62" s="42">
        <f t="shared" si="16"/>
        <v>910.296875</v>
      </c>
      <c r="J62" s="42">
        <f t="shared" si="16"/>
        <v>1070.9375</v>
      </c>
      <c r="K62" s="42">
        <f t="shared" si="16"/>
        <v>1070.9375</v>
      </c>
      <c r="L62" s="42">
        <f t="shared" si="16"/>
        <v>1070.9375</v>
      </c>
      <c r="M62" s="43">
        <f t="shared" si="16"/>
        <v>1070.9375</v>
      </c>
      <c r="O62" s="52">
        <f>SUM(B62:M62)</f>
        <v>8406.859375</v>
      </c>
    </row>
    <row r="63" spans="1:15" s="47" customFormat="1" x14ac:dyDescent="0.2">
      <c r="A63" s="41" t="s">
        <v>87</v>
      </c>
      <c r="B63" s="42">
        <f>(B22+B23+B25+B26+B27+B28+B29+B30+B31+B32+B33+B34+B35+B36+B37+B38+B39+B50)-((B22+B23+B25+B26+B27+B28+B29+B30+B31+B32+B33+B34+B35+B36+B37+B38+B39+B50)/1.2)</f>
        <v>5999.5999999999985</v>
      </c>
      <c r="C63" s="42">
        <f t="shared" ref="C63:M63" si="17">(C22+C23+C25+C26+C27+C28+C29+C30+C31+C32+C33+C34+C35+C36+C37+C38+C39+C50)-((C22+C23+C25+C26+C27+C28+C29+C30+C31+C32+C33+C34+C35+C36+C37+C38+C39+C50)/1.2)</f>
        <v>478.86666666666633</v>
      </c>
      <c r="D63" s="42">
        <f t="shared" si="17"/>
        <v>433.00937500000009</v>
      </c>
      <c r="E63" s="42">
        <f t="shared" si="17"/>
        <v>476.21562499999982</v>
      </c>
      <c r="F63" s="42">
        <f t="shared" si="17"/>
        <v>426.02500000000009</v>
      </c>
      <c r="G63" s="42">
        <f t="shared" si="17"/>
        <v>516.02500000000009</v>
      </c>
      <c r="H63" s="42">
        <f t="shared" si="17"/>
        <v>492.81874999999991</v>
      </c>
      <c r="I63" s="42">
        <f t="shared" si="17"/>
        <v>434.32656249999991</v>
      </c>
      <c r="J63" s="42">
        <f t="shared" si="17"/>
        <v>549.23124999999982</v>
      </c>
      <c r="K63" s="42">
        <f t="shared" si="17"/>
        <v>559.23124999999982</v>
      </c>
      <c r="L63" s="42">
        <f t="shared" si="17"/>
        <v>459.23124999999982</v>
      </c>
      <c r="M63" s="43">
        <f t="shared" si="17"/>
        <v>549.23124999999982</v>
      </c>
      <c r="O63" s="52">
        <f t="shared" ref="O63:O64" si="18">SUM(B63:M63)</f>
        <v>11373.811979166669</v>
      </c>
    </row>
    <row r="64" spans="1:15" s="47" customFormat="1" ht="13.5" thickBot="1" x14ac:dyDescent="0.25">
      <c r="A64" s="44" t="s">
        <v>91</v>
      </c>
      <c r="B64" s="45">
        <f>B62-B63</f>
        <v>-5999.5999999999985</v>
      </c>
      <c r="C64" s="45">
        <f t="shared" ref="C64:M64" si="19">C62-C63</f>
        <v>-478.86666666666633</v>
      </c>
      <c r="D64" s="45">
        <f t="shared" si="19"/>
        <v>-111.72812500000009</v>
      </c>
      <c r="E64" s="45">
        <f t="shared" si="19"/>
        <v>59.253125000000182</v>
      </c>
      <c r="F64" s="45">
        <f t="shared" si="19"/>
        <v>430.72499999999991</v>
      </c>
      <c r="G64" s="45">
        <f t="shared" si="19"/>
        <v>340.72499999999991</v>
      </c>
      <c r="H64" s="45">
        <f t="shared" si="19"/>
        <v>149.74375000000009</v>
      </c>
      <c r="I64" s="45">
        <f t="shared" si="19"/>
        <v>475.97031250000009</v>
      </c>
      <c r="J64" s="45">
        <f t="shared" si="19"/>
        <v>521.70625000000018</v>
      </c>
      <c r="K64" s="45">
        <f t="shared" si="19"/>
        <v>511.70625000000018</v>
      </c>
      <c r="L64" s="45">
        <f t="shared" si="19"/>
        <v>611.70625000000018</v>
      </c>
      <c r="M64" s="46">
        <f t="shared" si="19"/>
        <v>521.70625000000018</v>
      </c>
      <c r="O64" s="57">
        <f t="shared" si="18"/>
        <v>-2966.952604166665</v>
      </c>
    </row>
    <row r="65" spans="1:13" s="47" customFormat="1" x14ac:dyDescent="0.2">
      <c r="A65" s="94" t="s">
        <v>196</v>
      </c>
    </row>
    <row r="66" spans="1:13" s="47" customFormat="1" x14ac:dyDescent="0.2">
      <c r="A66" s="94" t="s">
        <v>197</v>
      </c>
    </row>
    <row r="67" spans="1:13" x14ac:dyDescent="0.2">
      <c r="A67" s="47"/>
      <c r="B67" s="47"/>
      <c r="C67" s="47"/>
      <c r="D67" s="47"/>
      <c r="E67" s="47"/>
      <c r="F67" s="47"/>
      <c r="G67" s="47"/>
      <c r="H67" s="47"/>
      <c r="I67" s="47"/>
      <c r="J67" s="47"/>
      <c r="K67" s="47"/>
      <c r="L67" s="47"/>
      <c r="M67" s="47"/>
    </row>
    <row r="68" spans="1:13" ht="15" x14ac:dyDescent="0.2">
      <c r="A68" s="115" t="s">
        <v>198</v>
      </c>
    </row>
  </sheetData>
  <mergeCells count="6">
    <mergeCell ref="A57:M57"/>
    <mergeCell ref="A1:M1"/>
    <mergeCell ref="A2:O2"/>
    <mergeCell ref="B19:M19"/>
    <mergeCell ref="A6:M6"/>
    <mergeCell ref="A20:M20"/>
  </mergeCells>
  <phoneticPr fontId="6" type="noConversion"/>
  <pageMargins left="0.7" right="0.7" top="0.75" bottom="0.75" header="0.3" footer="0.3"/>
  <pageSetup paperSize="9"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32549-4534-43CF-B8B4-AC127C28D217}">
  <sheetPr>
    <pageSetUpPr fitToPage="1"/>
  </sheetPr>
  <dimension ref="A1:E35"/>
  <sheetViews>
    <sheetView showGridLines="0" workbookViewId="0">
      <selection sqref="A1:E1"/>
    </sheetView>
  </sheetViews>
  <sheetFormatPr baseColWidth="10" defaultColWidth="10.85546875" defaultRowHeight="12.75" x14ac:dyDescent="0.2"/>
  <cols>
    <col min="1" max="1" width="29.85546875" style="1" customWidth="1"/>
    <col min="2" max="4" width="21.5703125" style="1" customWidth="1"/>
    <col min="5" max="5" width="19.42578125" style="1" customWidth="1"/>
    <col min="6" max="6" width="28.140625" style="1" bestFit="1" customWidth="1"/>
    <col min="7" max="7" width="9.28515625" style="1" bestFit="1" customWidth="1"/>
    <col min="8" max="16384" width="10.85546875" style="1"/>
  </cols>
  <sheetData>
    <row r="1" spans="1:5" ht="33.950000000000003" customHeight="1" x14ac:dyDescent="0.35">
      <c r="A1" s="144" t="s">
        <v>188</v>
      </c>
      <c r="B1" s="144"/>
      <c r="C1" s="144"/>
      <c r="D1" s="144"/>
      <c r="E1" s="144"/>
    </row>
    <row r="2" spans="1:5" s="5" customFormat="1" x14ac:dyDescent="0.2"/>
    <row r="3" spans="1:5" s="5" customFormat="1" x14ac:dyDescent="0.2">
      <c r="A3" s="98" t="s">
        <v>119</v>
      </c>
    </row>
    <row r="4" spans="1:5" x14ac:dyDescent="0.2">
      <c r="A4" s="99" t="s">
        <v>121</v>
      </c>
      <c r="B4" s="99" t="s">
        <v>130</v>
      </c>
      <c r="C4" s="99" t="s">
        <v>123</v>
      </c>
      <c r="D4" s="111">
        <f>65*12</f>
        <v>780</v>
      </c>
    </row>
    <row r="5" spans="1:5" x14ac:dyDescent="0.2">
      <c r="A5" s="99" t="s">
        <v>122</v>
      </c>
      <c r="B5" s="99" t="s">
        <v>128</v>
      </c>
      <c r="C5" s="99" t="s">
        <v>129</v>
      </c>
      <c r="D5" s="111">
        <f>15*12</f>
        <v>180</v>
      </c>
    </row>
    <row r="6" spans="1:5" x14ac:dyDescent="0.2">
      <c r="A6" s="100" t="s">
        <v>124</v>
      </c>
      <c r="B6" s="99" t="s">
        <v>125</v>
      </c>
      <c r="C6" s="99" t="s">
        <v>126</v>
      </c>
      <c r="D6" s="111">
        <f>3*8*20</f>
        <v>480</v>
      </c>
    </row>
    <row r="7" spans="1:5" x14ac:dyDescent="0.2">
      <c r="A7" s="101" t="s">
        <v>120</v>
      </c>
      <c r="B7" s="99"/>
      <c r="C7" s="99"/>
      <c r="D7" s="111">
        <f>SUM(D4:D6)</f>
        <v>1440</v>
      </c>
    </row>
    <row r="10" spans="1:5" x14ac:dyDescent="0.2">
      <c r="A10" s="142" t="s">
        <v>149</v>
      </c>
      <c r="B10" s="143"/>
      <c r="C10" s="143"/>
      <c r="D10" s="143"/>
      <c r="E10" s="143"/>
    </row>
    <row r="11" spans="1:5" ht="29.45" customHeight="1" x14ac:dyDescent="0.2">
      <c r="A11" s="142" t="s">
        <v>150</v>
      </c>
      <c r="B11" s="143"/>
      <c r="C11" s="143"/>
      <c r="D11" s="143"/>
      <c r="E11" s="143"/>
    </row>
    <row r="12" spans="1:5" x14ac:dyDescent="0.2">
      <c r="A12" s="102"/>
      <c r="B12" s="103"/>
      <c r="C12" s="103"/>
      <c r="D12" s="103"/>
      <c r="E12" s="103"/>
    </row>
    <row r="13" spans="1:5" x14ac:dyDescent="0.2">
      <c r="A13" s="142" t="s">
        <v>148</v>
      </c>
      <c r="B13" s="143"/>
      <c r="C13" s="143"/>
      <c r="D13" s="143"/>
      <c r="E13" s="143"/>
    </row>
    <row r="14" spans="1:5" ht="28.5" customHeight="1" x14ac:dyDescent="0.2">
      <c r="A14" s="142" t="s">
        <v>189</v>
      </c>
      <c r="B14" s="143"/>
      <c r="C14" s="143"/>
      <c r="D14" s="143"/>
      <c r="E14" s="143"/>
    </row>
    <row r="15" spans="1:5" x14ac:dyDescent="0.2">
      <c r="A15" s="142" t="s">
        <v>190</v>
      </c>
      <c r="B15" s="143"/>
      <c r="C15" s="143"/>
      <c r="D15" s="143"/>
      <c r="E15" s="143"/>
    </row>
    <row r="16" spans="1:5" x14ac:dyDescent="0.2">
      <c r="A16" s="142" t="s">
        <v>191</v>
      </c>
      <c r="B16" s="143"/>
      <c r="C16" s="143"/>
      <c r="D16" s="143"/>
      <c r="E16" s="143"/>
    </row>
    <row r="17" spans="1:5" x14ac:dyDescent="0.2">
      <c r="A17" s="142" t="s">
        <v>192</v>
      </c>
      <c r="B17" s="143"/>
      <c r="C17" s="143"/>
      <c r="D17" s="143"/>
      <c r="E17" s="143"/>
    </row>
    <row r="18" spans="1:5" x14ac:dyDescent="0.2">
      <c r="A18" s="142" t="s">
        <v>193</v>
      </c>
      <c r="B18" s="143"/>
      <c r="C18" s="143"/>
      <c r="D18" s="143"/>
      <c r="E18" s="143"/>
    </row>
    <row r="19" spans="1:5" x14ac:dyDescent="0.2">
      <c r="A19" s="142" t="s">
        <v>194</v>
      </c>
      <c r="B19" s="143"/>
      <c r="C19" s="143"/>
      <c r="D19" s="143"/>
      <c r="E19" s="143"/>
    </row>
    <row r="20" spans="1:5" x14ac:dyDescent="0.2">
      <c r="A20" s="142" t="s">
        <v>195</v>
      </c>
      <c r="B20" s="143"/>
      <c r="C20" s="143"/>
      <c r="D20" s="143"/>
      <c r="E20" s="143"/>
    </row>
    <row r="22" spans="1:5" s="106" customFormat="1" ht="25.5" x14ac:dyDescent="0.25">
      <c r="A22" s="104" t="s">
        <v>151</v>
      </c>
      <c r="B22" s="104" t="s">
        <v>152</v>
      </c>
      <c r="C22" s="104" t="s">
        <v>165</v>
      </c>
      <c r="D22" s="104" t="s">
        <v>166</v>
      </c>
      <c r="E22" s="105" t="s">
        <v>170</v>
      </c>
    </row>
    <row r="23" spans="1:5" s="106" customFormat="1" x14ac:dyDescent="0.25">
      <c r="A23" s="107" t="s">
        <v>167</v>
      </c>
      <c r="B23" s="108">
        <f>5750*0.55</f>
        <v>3162.5000000000005</v>
      </c>
      <c r="C23" s="108">
        <f>5750*0.33</f>
        <v>1897.5</v>
      </c>
      <c r="D23" s="108">
        <f>5750*12/100</f>
        <v>690</v>
      </c>
      <c r="E23" s="109">
        <f>SUM(B23:D23)</f>
        <v>5750</v>
      </c>
    </row>
    <row r="24" spans="1:5" x14ac:dyDescent="0.2">
      <c r="A24" s="110" t="s">
        <v>153</v>
      </c>
      <c r="B24" s="111">
        <v>0</v>
      </c>
      <c r="C24" s="111">
        <v>0</v>
      </c>
      <c r="D24" s="111">
        <v>0</v>
      </c>
      <c r="E24" s="111">
        <f>B24+C24+D24</f>
        <v>0</v>
      </c>
    </row>
    <row r="25" spans="1:5" x14ac:dyDescent="0.2">
      <c r="A25" s="110" t="s">
        <v>154</v>
      </c>
      <c r="B25" s="111">
        <v>0</v>
      </c>
      <c r="C25" s="111">
        <v>0</v>
      </c>
      <c r="D25" s="111">
        <v>0</v>
      </c>
      <c r="E25" s="111">
        <f t="shared" ref="E25:E35" si="0">B25+C25+D25</f>
        <v>0</v>
      </c>
    </row>
    <row r="26" spans="1:5" x14ac:dyDescent="0.2">
      <c r="A26" s="110" t="s">
        <v>155</v>
      </c>
      <c r="B26" s="111">
        <f>B23*0.3</f>
        <v>948.75000000000011</v>
      </c>
      <c r="C26" s="111">
        <f t="shared" ref="C26:D26" si="1">C23*0.3</f>
        <v>569.25</v>
      </c>
      <c r="D26" s="111">
        <f t="shared" si="1"/>
        <v>207</v>
      </c>
      <c r="E26" s="111">
        <f t="shared" si="0"/>
        <v>1725</v>
      </c>
    </row>
    <row r="27" spans="1:5" x14ac:dyDescent="0.2">
      <c r="A27" s="110" t="s">
        <v>156</v>
      </c>
      <c r="B27" s="111">
        <f>B23*0.5</f>
        <v>1581.2500000000002</v>
      </c>
      <c r="C27" s="111">
        <f t="shared" ref="C27:D27" si="2">C23*0.5</f>
        <v>948.75</v>
      </c>
      <c r="D27" s="111">
        <f t="shared" si="2"/>
        <v>345</v>
      </c>
      <c r="E27" s="111">
        <f t="shared" si="0"/>
        <v>2875</v>
      </c>
    </row>
    <row r="28" spans="1:5" x14ac:dyDescent="0.2">
      <c r="A28" s="110" t="s">
        <v>157</v>
      </c>
      <c r="B28" s="111">
        <f>B23*0.8</f>
        <v>2530.0000000000005</v>
      </c>
      <c r="C28" s="111">
        <f t="shared" ref="C28:D28" si="3">C23*0.8</f>
        <v>1518</v>
      </c>
      <c r="D28" s="111">
        <f t="shared" si="3"/>
        <v>552</v>
      </c>
      <c r="E28" s="111">
        <f t="shared" si="0"/>
        <v>4600</v>
      </c>
    </row>
    <row r="29" spans="1:5" x14ac:dyDescent="0.2">
      <c r="A29" s="110" t="s">
        <v>158</v>
      </c>
      <c r="B29" s="111">
        <f>B23*0.8</f>
        <v>2530.0000000000005</v>
      </c>
      <c r="C29" s="111">
        <f t="shared" ref="C29:D29" si="4">C23*0.8</f>
        <v>1518</v>
      </c>
      <c r="D29" s="111">
        <f t="shared" si="4"/>
        <v>552</v>
      </c>
      <c r="E29" s="111">
        <f t="shared" si="0"/>
        <v>4600</v>
      </c>
    </row>
    <row r="30" spans="1:5" x14ac:dyDescent="0.2">
      <c r="A30" s="110" t="s">
        <v>159</v>
      </c>
      <c r="B30" s="111">
        <f>B23*0.6</f>
        <v>1897.5000000000002</v>
      </c>
      <c r="C30" s="111">
        <f t="shared" ref="C30:D30" si="5">C23*0.6</f>
        <v>1138.5</v>
      </c>
      <c r="D30" s="111">
        <f t="shared" si="5"/>
        <v>414</v>
      </c>
      <c r="E30" s="111">
        <f t="shared" si="0"/>
        <v>3450</v>
      </c>
    </row>
    <row r="31" spans="1:5" x14ac:dyDescent="0.2">
      <c r="A31" s="110" t="s">
        <v>160</v>
      </c>
      <c r="B31" s="111">
        <f>B23*0.85</f>
        <v>2688.1250000000005</v>
      </c>
      <c r="C31" s="111">
        <f t="shared" ref="C31:D31" si="6">C23*0.85</f>
        <v>1612.875</v>
      </c>
      <c r="D31" s="111">
        <f t="shared" si="6"/>
        <v>586.5</v>
      </c>
      <c r="E31" s="111">
        <f t="shared" si="0"/>
        <v>4887.5</v>
      </c>
    </row>
    <row r="32" spans="1:5" x14ac:dyDescent="0.2">
      <c r="A32" s="110" t="s">
        <v>161</v>
      </c>
      <c r="B32" s="111">
        <f>B23</f>
        <v>3162.5000000000005</v>
      </c>
      <c r="C32" s="111">
        <f t="shared" ref="C32:D32" si="7">C23</f>
        <v>1897.5</v>
      </c>
      <c r="D32" s="111">
        <f t="shared" si="7"/>
        <v>690</v>
      </c>
      <c r="E32" s="111">
        <f t="shared" si="0"/>
        <v>5750</v>
      </c>
    </row>
    <row r="33" spans="1:5" x14ac:dyDescent="0.2">
      <c r="A33" s="110" t="s">
        <v>162</v>
      </c>
      <c r="B33" s="111">
        <f>B23</f>
        <v>3162.5000000000005</v>
      </c>
      <c r="C33" s="111">
        <f t="shared" ref="C33:D33" si="8">C23</f>
        <v>1897.5</v>
      </c>
      <c r="D33" s="111">
        <f t="shared" si="8"/>
        <v>690</v>
      </c>
      <c r="E33" s="111">
        <f t="shared" si="0"/>
        <v>5750</v>
      </c>
    </row>
    <row r="34" spans="1:5" x14ac:dyDescent="0.2">
      <c r="A34" s="110" t="s">
        <v>163</v>
      </c>
      <c r="B34" s="111">
        <f>B23</f>
        <v>3162.5000000000005</v>
      </c>
      <c r="C34" s="111">
        <f t="shared" ref="C34:D34" si="9">C23</f>
        <v>1897.5</v>
      </c>
      <c r="D34" s="111">
        <f t="shared" si="9"/>
        <v>690</v>
      </c>
      <c r="E34" s="111">
        <f t="shared" si="0"/>
        <v>5750</v>
      </c>
    </row>
    <row r="35" spans="1:5" x14ac:dyDescent="0.2">
      <c r="A35" s="110" t="s">
        <v>164</v>
      </c>
      <c r="B35" s="111">
        <f>B23</f>
        <v>3162.5000000000005</v>
      </c>
      <c r="C35" s="111">
        <f t="shared" ref="C35:D35" si="10">C23</f>
        <v>1897.5</v>
      </c>
      <c r="D35" s="111">
        <f t="shared" si="10"/>
        <v>690</v>
      </c>
      <c r="E35" s="111">
        <f t="shared" si="0"/>
        <v>5750</v>
      </c>
    </row>
  </sheetData>
  <mergeCells count="11">
    <mergeCell ref="A17:E17"/>
    <mergeCell ref="A18:E18"/>
    <mergeCell ref="A19:E19"/>
    <mergeCell ref="A20:E20"/>
    <mergeCell ref="A1:E1"/>
    <mergeCell ref="A10:E10"/>
    <mergeCell ref="A11:E11"/>
    <mergeCell ref="A13:E13"/>
    <mergeCell ref="A14:E14"/>
    <mergeCell ref="A15:E15"/>
    <mergeCell ref="A16:E16"/>
  </mergeCells>
  <phoneticPr fontId="6" type="noConversion"/>
  <pageMargins left="0.7" right="0.7" top="0.75" bottom="0.75" header="0.3" footer="0.3"/>
  <pageSetup paperSize="9" scale="7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92442-EC3F-4799-8F79-B533B6728FCB}">
  <sheetPr>
    <pageSetUpPr fitToPage="1"/>
  </sheetPr>
  <dimension ref="A1:F33"/>
  <sheetViews>
    <sheetView showGridLines="0" topLeftCell="A16" workbookViewId="0">
      <selection activeCell="A26" sqref="A26:B26"/>
    </sheetView>
  </sheetViews>
  <sheetFormatPr baseColWidth="10" defaultRowHeight="15" x14ac:dyDescent="0.25"/>
  <cols>
    <col min="1" max="1" width="40.5703125" style="1" customWidth="1"/>
    <col min="2" max="2" width="10.85546875" style="1"/>
    <col min="3" max="3" width="40.5703125" style="1" customWidth="1"/>
    <col min="4" max="4" width="10.85546875" style="1"/>
  </cols>
  <sheetData>
    <row r="1" spans="1:6" ht="45" customHeight="1" x14ac:dyDescent="0.25">
      <c r="A1" s="145" t="s">
        <v>45</v>
      </c>
      <c r="B1" s="145"/>
      <c r="C1" s="145"/>
      <c r="D1" s="145"/>
    </row>
    <row r="2" spans="1:6" ht="54" customHeight="1" thickBot="1" x14ac:dyDescent="0.3">
      <c r="A2" s="127" t="s">
        <v>187</v>
      </c>
      <c r="B2" s="128"/>
      <c r="C2" s="128"/>
      <c r="D2" s="128"/>
    </row>
    <row r="3" spans="1:6" ht="45" customHeight="1" thickTop="1" thickBot="1" x14ac:dyDescent="0.3">
      <c r="A3" s="125" t="s">
        <v>46</v>
      </c>
      <c r="B3" s="126"/>
      <c r="C3" s="125" t="s">
        <v>47</v>
      </c>
      <c r="D3" s="126"/>
    </row>
    <row r="4" spans="1:6" ht="15.75" thickTop="1" x14ac:dyDescent="0.25">
      <c r="A4" s="35" t="s">
        <v>48</v>
      </c>
      <c r="B4" s="85">
        <f>SUM(B5:B13)</f>
        <v>15012</v>
      </c>
      <c r="C4" s="36" t="s">
        <v>60</v>
      </c>
      <c r="D4" s="85">
        <f>SUM(D5:D8)</f>
        <v>10000</v>
      </c>
    </row>
    <row r="5" spans="1:6" x14ac:dyDescent="0.25">
      <c r="A5" s="4" t="s">
        <v>49</v>
      </c>
      <c r="B5" s="86">
        <v>2000</v>
      </c>
      <c r="C5" s="4" t="s">
        <v>61</v>
      </c>
      <c r="D5" s="86">
        <v>1500</v>
      </c>
    </row>
    <row r="6" spans="1:6" x14ac:dyDescent="0.25">
      <c r="A6" s="4" t="s">
        <v>117</v>
      </c>
      <c r="B6" s="86">
        <v>1512</v>
      </c>
      <c r="C6" s="4" t="s">
        <v>62</v>
      </c>
      <c r="D6" s="86">
        <v>8500</v>
      </c>
    </row>
    <row r="7" spans="1:6" x14ac:dyDescent="0.25">
      <c r="A7" s="4" t="s">
        <v>50</v>
      </c>
      <c r="B7" s="86"/>
      <c r="C7" s="4" t="s">
        <v>63</v>
      </c>
      <c r="D7" s="86"/>
    </row>
    <row r="8" spans="1:6" x14ac:dyDescent="0.25">
      <c r="A8" s="4" t="s">
        <v>51</v>
      </c>
      <c r="B8" s="86">
        <v>1500</v>
      </c>
      <c r="C8" s="4"/>
      <c r="D8" s="86"/>
    </row>
    <row r="9" spans="1:6" x14ac:dyDescent="0.25">
      <c r="A9" s="4" t="s">
        <v>13</v>
      </c>
      <c r="B9" s="86"/>
      <c r="C9" s="37" t="s">
        <v>64</v>
      </c>
      <c r="D9" s="88">
        <f>SUM(D10:D12)</f>
        <v>31000</v>
      </c>
    </row>
    <row r="10" spans="1:6" x14ac:dyDescent="0.25">
      <c r="A10" s="4" t="s">
        <v>52</v>
      </c>
      <c r="B10" s="86"/>
      <c r="C10" s="5" t="s">
        <v>16</v>
      </c>
      <c r="D10" s="86">
        <v>21000</v>
      </c>
      <c r="F10" s="62"/>
    </row>
    <row r="11" spans="1:6" x14ac:dyDescent="0.25">
      <c r="A11" s="4" t="s">
        <v>53</v>
      </c>
      <c r="B11" s="86"/>
      <c r="C11" s="4" t="s">
        <v>65</v>
      </c>
      <c r="D11" s="86">
        <v>10000</v>
      </c>
    </row>
    <row r="12" spans="1:6" x14ac:dyDescent="0.25">
      <c r="A12" s="4" t="s">
        <v>118</v>
      </c>
      <c r="B12" s="86">
        <v>10000</v>
      </c>
      <c r="C12" s="4" t="s">
        <v>66</v>
      </c>
      <c r="D12" s="86"/>
    </row>
    <row r="13" spans="1:6" x14ac:dyDescent="0.25">
      <c r="A13" s="4" t="s">
        <v>54</v>
      </c>
      <c r="B13" s="86"/>
      <c r="C13" s="4"/>
      <c r="D13" s="87"/>
    </row>
    <row r="14" spans="1:6" x14ac:dyDescent="0.25">
      <c r="A14" s="4"/>
      <c r="B14" s="86"/>
      <c r="C14" s="37" t="s">
        <v>131</v>
      </c>
      <c r="D14" s="88">
        <f>SUM(D15:D17)</f>
        <v>4000</v>
      </c>
    </row>
    <row r="15" spans="1:6" x14ac:dyDescent="0.25">
      <c r="A15" s="36" t="s">
        <v>55</v>
      </c>
      <c r="B15" s="88">
        <f>SUM(B16:B20)</f>
        <v>10500</v>
      </c>
      <c r="C15" s="4" t="s">
        <v>132</v>
      </c>
      <c r="D15" s="86">
        <v>4000</v>
      </c>
    </row>
    <row r="16" spans="1:6" x14ac:dyDescent="0.25">
      <c r="A16" s="4" t="s">
        <v>11</v>
      </c>
      <c r="B16" s="86">
        <v>3000</v>
      </c>
      <c r="C16" s="4"/>
      <c r="D16" s="87"/>
    </row>
    <row r="17" spans="1:4" x14ac:dyDescent="0.25">
      <c r="A17" s="4" t="s">
        <v>80</v>
      </c>
      <c r="B17" s="86">
        <v>5000</v>
      </c>
      <c r="C17" s="4"/>
      <c r="D17" s="87"/>
    </row>
    <row r="18" spans="1:4" x14ac:dyDescent="0.25">
      <c r="A18" s="4" t="s">
        <v>81</v>
      </c>
      <c r="B18" s="86"/>
      <c r="C18" s="4"/>
      <c r="D18" s="87"/>
    </row>
    <row r="19" spans="1:4" x14ac:dyDescent="0.25">
      <c r="A19" s="4" t="s">
        <v>10</v>
      </c>
      <c r="B19" s="86"/>
      <c r="C19" s="4"/>
      <c r="D19" s="87"/>
    </row>
    <row r="20" spans="1:4" x14ac:dyDescent="0.25">
      <c r="A20" s="4" t="s">
        <v>133</v>
      </c>
      <c r="B20" s="86">
        <v>2500</v>
      </c>
      <c r="C20" s="4"/>
      <c r="D20" s="87"/>
    </row>
    <row r="21" spans="1:4" x14ac:dyDescent="0.25">
      <c r="A21" s="4"/>
      <c r="B21" s="86"/>
      <c r="C21" s="4"/>
      <c r="D21" s="87"/>
    </row>
    <row r="22" spans="1:4" x14ac:dyDescent="0.25">
      <c r="A22" s="36" t="s">
        <v>56</v>
      </c>
      <c r="B22" s="88">
        <f>SUM(B23:B24)</f>
        <v>2520</v>
      </c>
      <c r="C22" s="4"/>
      <c r="D22" s="87"/>
    </row>
    <row r="23" spans="1:4" x14ac:dyDescent="0.25">
      <c r="A23" s="4" t="s">
        <v>57</v>
      </c>
      <c r="B23" s="86">
        <v>2520</v>
      </c>
      <c r="C23" s="4"/>
      <c r="D23" s="87"/>
    </row>
    <row r="24" spans="1:4" x14ac:dyDescent="0.25">
      <c r="A24" s="4" t="s">
        <v>85</v>
      </c>
      <c r="B24" s="86"/>
      <c r="C24" s="4"/>
      <c r="D24" s="87"/>
    </row>
    <row r="25" spans="1:4" x14ac:dyDescent="0.25">
      <c r="A25" s="4"/>
      <c r="B25" s="86"/>
      <c r="C25" s="4"/>
      <c r="D25" s="87"/>
    </row>
    <row r="26" spans="1:4" x14ac:dyDescent="0.25">
      <c r="A26" s="36" t="s">
        <v>58</v>
      </c>
      <c r="B26" s="88"/>
      <c r="C26" s="4"/>
      <c r="D26" s="87"/>
    </row>
    <row r="27" spans="1:4" x14ac:dyDescent="0.25">
      <c r="A27" s="3"/>
      <c r="B27" s="95"/>
      <c r="C27" s="4"/>
      <c r="D27" s="87"/>
    </row>
    <row r="28" spans="1:4" x14ac:dyDescent="0.25">
      <c r="A28" s="36" t="s">
        <v>59</v>
      </c>
      <c r="B28" s="88">
        <v>17000</v>
      </c>
      <c r="C28" s="4"/>
      <c r="D28" s="87"/>
    </row>
    <row r="29" spans="1:4" ht="15.75" thickBot="1" x14ac:dyDescent="0.3">
      <c r="A29" s="3"/>
      <c r="B29" s="96"/>
      <c r="C29" s="4"/>
      <c r="D29" s="87"/>
    </row>
    <row r="30" spans="1:4" ht="16.5" thickTop="1" thickBot="1" x14ac:dyDescent="0.3">
      <c r="A30" s="38" t="s">
        <v>67</v>
      </c>
      <c r="B30" s="97">
        <f>B4+B15+B22+B26+B28</f>
        <v>45032</v>
      </c>
      <c r="C30" s="39" t="s">
        <v>68</v>
      </c>
      <c r="D30" s="97">
        <f>D4+D9+D14</f>
        <v>45000</v>
      </c>
    </row>
    <row r="31" spans="1:4" ht="15.75" thickTop="1" x14ac:dyDescent="0.25"/>
    <row r="33" spans="4:4" x14ac:dyDescent="0.25">
      <c r="D33" s="63"/>
    </row>
  </sheetData>
  <mergeCells count="4">
    <mergeCell ref="A1:D1"/>
    <mergeCell ref="A3:B3"/>
    <mergeCell ref="C3:D3"/>
    <mergeCell ref="A2:D2"/>
  </mergeCells>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Par où commencer </vt:lpstr>
      <vt:lpstr>Compte exploitation</vt:lpstr>
      <vt:lpstr>Plan de trésorerie</vt:lpstr>
      <vt:lpstr>Calcul du CA prévisionnel</vt:lpstr>
      <vt:lpstr>Plan de financement </vt:lpstr>
      <vt:lpstr>'Compte exploitation'!Zone_d_impression</vt:lpstr>
      <vt:lpstr>'Plan de financement '!Zone_d_impression</vt:lpstr>
      <vt:lpstr>'Plan de trésorerie'!Zone_d_impression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2022-01-30T16:58:19Z</cp:lastPrinted>
  <dcterms:created xsi:type="dcterms:W3CDTF">2021-06-07T10:40:47Z</dcterms:created>
  <dcterms:modified xsi:type="dcterms:W3CDTF">2022-02-01T09:21:53Z</dcterms:modified>
</cp:coreProperties>
</file>